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luarca\Ser. Contratacion\A. DATOS (desde mayo-14)\4. EXP. CONTRATACIÓN\2022\2000003536_SuO_Implantación de red Global SAN para CPDs\1. Vb Pliegos\Cambios Previo CE 10.02.22\"/>
    </mc:Choice>
  </mc:AlternateContent>
  <xr:revisionPtr revIDLastSave="0" documentId="8_{9D387E78-5C58-427E-88A9-7095144E9533}" xr6:coauthVersionLast="36" xr6:coauthVersionMax="36" xr10:uidLastSave="{00000000-0000-0000-0000-000000000000}"/>
  <bookViews>
    <workbookView xWindow="0" yWindow="0" windowWidth="28800" windowHeight="12372" xr2:uid="{C44CD173-0DEA-4FE8-83C6-94899DFCEAA5}"/>
  </bookViews>
  <sheets>
    <sheet name="Presupuesto Red Global SAN"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2" i="1" l="1"/>
  <c r="K5" i="1"/>
  <c r="L50" i="1"/>
  <c r="K50" i="1"/>
  <c r="K38" i="1"/>
  <c r="L29" i="1"/>
  <c r="K29" i="1"/>
  <c r="K25" i="1"/>
  <c r="L21" i="1"/>
  <c r="K21" i="1"/>
  <c r="K15" i="1"/>
  <c r="K17" i="1"/>
  <c r="K10" i="1"/>
  <c r="K12" i="1"/>
  <c r="K7" i="1"/>
  <c r="G42" i="1" l="1"/>
  <c r="G43" i="1"/>
  <c r="G44" i="1"/>
  <c r="G45" i="1"/>
  <c r="G46" i="1"/>
  <c r="G47" i="1"/>
  <c r="G48" i="1"/>
  <c r="G49" i="1"/>
  <c r="G41" i="1"/>
  <c r="G33" i="1"/>
  <c r="G34" i="1"/>
  <c r="G35" i="1"/>
  <c r="G36" i="1"/>
  <c r="G37" i="1"/>
  <c r="G32" i="1"/>
  <c r="G28" i="1"/>
  <c r="G24" i="1"/>
  <c r="G20" i="1"/>
  <c r="G16" i="1"/>
  <c r="G15" i="1"/>
  <c r="G11" i="1"/>
  <c r="G10" i="1"/>
  <c r="G6" i="1"/>
  <c r="G5" i="1"/>
  <c r="I48" i="1" l="1"/>
  <c r="H48" i="1" s="1"/>
  <c r="I28" i="1"/>
  <c r="I15" i="1"/>
  <c r="H15" i="1" s="1"/>
  <c r="K16" i="1"/>
  <c r="I16" i="1" s="1"/>
  <c r="H16" i="1" s="1"/>
  <c r="K20" i="1"/>
  <c r="I20" i="1" s="1"/>
  <c r="K24" i="1"/>
  <c r="I24" i="1" s="1"/>
  <c r="H24" i="1" s="1"/>
  <c r="K28" i="1"/>
  <c r="I32" i="1"/>
  <c r="H32" i="1" s="1"/>
  <c r="K33" i="1"/>
  <c r="I33" i="1" s="1"/>
  <c r="H33" i="1" s="1"/>
  <c r="K34" i="1"/>
  <c r="I34" i="1" s="1"/>
  <c r="H34" i="1" s="1"/>
  <c r="K35" i="1"/>
  <c r="I35" i="1" s="1"/>
  <c r="H35" i="1" s="1"/>
  <c r="K36" i="1"/>
  <c r="I36" i="1" s="1"/>
  <c r="H36" i="1" s="1"/>
  <c r="K37" i="1"/>
  <c r="I37" i="1" s="1"/>
  <c r="H37" i="1" s="1"/>
  <c r="K41" i="1"/>
  <c r="I41" i="1" s="1"/>
  <c r="H41" i="1" s="1"/>
  <c r="K42" i="1"/>
  <c r="I42" i="1" s="1"/>
  <c r="H42" i="1" s="1"/>
  <c r="K43" i="1"/>
  <c r="I43" i="1" s="1"/>
  <c r="H43" i="1" s="1"/>
  <c r="K44" i="1"/>
  <c r="I44" i="1" s="1"/>
  <c r="H44" i="1" s="1"/>
  <c r="K45" i="1"/>
  <c r="I45" i="1" s="1"/>
  <c r="H45" i="1" s="1"/>
  <c r="K46" i="1"/>
  <c r="I46" i="1" s="1"/>
  <c r="H46" i="1" s="1"/>
  <c r="K47" i="1"/>
  <c r="I47" i="1" s="1"/>
  <c r="H47" i="1" s="1"/>
  <c r="K48" i="1"/>
  <c r="K49" i="1"/>
  <c r="I49" i="1" s="1"/>
  <c r="H49" i="1" s="1"/>
  <c r="I10" i="1"/>
  <c r="H10" i="1" s="1"/>
  <c r="K11" i="1"/>
  <c r="I11" i="1" s="1"/>
  <c r="H11" i="1" s="1"/>
  <c r="K6" i="1"/>
  <c r="I6" i="1" s="1"/>
  <c r="H6" i="1" s="1"/>
  <c r="I5" i="1"/>
  <c r="H5" i="1" s="1"/>
  <c r="G29" i="1"/>
  <c r="G27" i="1" s="1"/>
  <c r="G25" i="1"/>
  <c r="G23" i="1" s="1"/>
  <c r="G21" i="1"/>
  <c r="G19" i="1" s="1"/>
  <c r="I29" i="1" l="1"/>
  <c r="I27" i="1" s="1"/>
  <c r="H28" i="1"/>
  <c r="I25" i="1"/>
  <c r="I21" i="1"/>
  <c r="I19" i="1" s="1"/>
  <c r="H20" i="1"/>
  <c r="I50" i="1"/>
  <c r="I38" i="1"/>
  <c r="L38" i="1" s="1"/>
  <c r="I17" i="1"/>
  <c r="I12" i="1"/>
  <c r="I7" i="1"/>
  <c r="G7" i="1"/>
  <c r="G4" i="1" s="1"/>
  <c r="I23" i="1" l="1"/>
  <c r="L25" i="1"/>
  <c r="I14" i="1"/>
  <c r="L17" i="1"/>
  <c r="I9" i="1"/>
  <c r="L12" i="1"/>
  <c r="I4" i="1"/>
  <c r="L7" i="1"/>
  <c r="I40" i="1"/>
  <c r="G50" i="1" l="1"/>
  <c r="G40" i="1" s="1"/>
  <c r="J9" i="1"/>
  <c r="J14" i="1"/>
  <c r="I31" i="1" l="1"/>
  <c r="I52" i="1" s="1"/>
  <c r="M52" i="1" s="1"/>
  <c r="G17" i="1"/>
  <c r="G14" i="1" s="1"/>
  <c r="G38" i="1" l="1"/>
  <c r="G31" i="1" s="1"/>
  <c r="G12" i="1"/>
  <c r="G9" i="1" s="1"/>
  <c r="I55" i="1"/>
  <c r="G52" i="1" l="1"/>
  <c r="F55" i="1" s="1"/>
  <c r="G55" i="1" s="1"/>
  <c r="G57" i="1" s="1"/>
  <c r="I57" i="1"/>
  <c r="I59" i="1"/>
  <c r="I61" i="1" l="1"/>
  <c r="I63" i="1" s="1"/>
  <c r="I65" i="1" s="1"/>
  <c r="G59" i="1"/>
  <c r="G61" i="1" s="1"/>
  <c r="G63" i="1" s="1"/>
  <c r="G65" i="1" s="1"/>
</calcChain>
</file>

<file path=xl/sharedStrings.xml><?xml version="1.0" encoding="utf-8"?>
<sst xmlns="http://schemas.openxmlformats.org/spreadsheetml/2006/main" count="152" uniqueCount="95">
  <si>
    <t>Presupuesto</t>
  </si>
  <si>
    <t>Código</t>
  </si>
  <si>
    <t>Nat</t>
  </si>
  <si>
    <t>Ud</t>
  </si>
  <si>
    <t>Resumen</t>
  </si>
  <si>
    <t>Cantidad</t>
  </si>
  <si>
    <t>Capítulo</t>
  </si>
  <si>
    <t/>
  </si>
  <si>
    <t>Partida</t>
  </si>
  <si>
    <t>u</t>
  </si>
  <si>
    <t>Total 01</t>
  </si>
  <si>
    <t>Total 02</t>
  </si>
  <si>
    <t>C Ejecución Material (€)</t>
  </si>
  <si>
    <t>Referencia (€)</t>
  </si>
  <si>
    <t>GASTOS GENERALES</t>
  </si>
  <si>
    <t>BENEFICIO INDUSTRIAL</t>
  </si>
  <si>
    <t>IVA</t>
  </si>
  <si>
    <t>► Se deberán rellenar todas las celdas marcadas en color verde</t>
  </si>
  <si>
    <t>► Los precios unitarios ofertados no incluyen Gastos Generales ni Beneficio Industrial.</t>
  </si>
  <si>
    <t>PRESUPUESTO DE EJECUCIÓN MATERIAL</t>
  </si>
  <si>
    <t>TOTAL PRESUPUESTO BASE LICITACIÓN</t>
  </si>
  <si>
    <t>TOTAL BASE IMPONIBLE</t>
  </si>
  <si>
    <t>► El importe de la celda TOTAL BASE IMPONIBLE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</si>
  <si>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C/U Ejecución Material (€)</t>
  </si>
  <si>
    <t>PROYECTO PARA LA IMPLANTACION DE RED GLOBAL SAN (STORAGE AREA NETWORK) EN LA RED DE METRO</t>
  </si>
  <si>
    <t>SERVICIOS MANTENIENTO</t>
  </si>
  <si>
    <t>Total 03</t>
  </si>
  <si>
    <t>Total IO_21-064P</t>
  </si>
  <si>
    <t>01AAR000</t>
  </si>
  <si>
    <t>CPD Alto del Arenal</t>
  </si>
  <si>
    <t>01AAR001</t>
  </si>
  <si>
    <t>01AAR002</t>
  </si>
  <si>
    <t>02PSR000</t>
  </si>
  <si>
    <t>CPD Puerta del Sur</t>
  </si>
  <si>
    <t>Director Fibra (96 puertos)</t>
  </si>
  <si>
    <t>Cables LC-LC multimodo bifibra (25 m)</t>
  </si>
  <si>
    <t>02PSR001</t>
  </si>
  <si>
    <t>02PSR002</t>
  </si>
  <si>
    <t>03CRI000</t>
  </si>
  <si>
    <t>Switch Fibra (96 puertos)</t>
  </si>
  <si>
    <t>Cristalia</t>
  </si>
  <si>
    <t>03CRI001</t>
  </si>
  <si>
    <t>03CRI002</t>
  </si>
  <si>
    <t>04CTI000</t>
  </si>
  <si>
    <t>CPD Centro de Tecnologías de la Información (CTI)</t>
  </si>
  <si>
    <t>04CTI001</t>
  </si>
  <si>
    <t>Evolución Director Fibra (240 puertos) según PPT</t>
  </si>
  <si>
    <t>05CCS000</t>
  </si>
  <si>
    <t>CPD Centro de Continuidad de Servicio (CCS)</t>
  </si>
  <si>
    <t>05CCS001</t>
  </si>
  <si>
    <t>Evolución equipamiento SAN según PPT</t>
  </si>
  <si>
    <t>06CPG000</t>
  </si>
  <si>
    <t>CPD Global</t>
  </si>
  <si>
    <t>06CPG001</t>
  </si>
  <si>
    <t>Directo Fibra (240 puertos)</t>
  </si>
  <si>
    <t>07SOP000</t>
  </si>
  <si>
    <t>Soporte Avanzado</t>
  </si>
  <si>
    <t>07SOP001</t>
  </si>
  <si>
    <t>07SOP002</t>
  </si>
  <si>
    <t>07SOP003</t>
  </si>
  <si>
    <t>07SOP004</t>
  </si>
  <si>
    <t>07SOP005</t>
  </si>
  <si>
    <t>07SOP006</t>
  </si>
  <si>
    <t>Soporte equipamiento CPD Alto del Arenal</t>
  </si>
  <si>
    <t>Soporte equipamiento CPDPuerta del Sur</t>
  </si>
  <si>
    <t>Soporte equipamiento CPD Cristalia</t>
  </si>
  <si>
    <t>Soporte equipamiento CPD Centro de Tecnologías de la Información (CTI)</t>
  </si>
  <si>
    <t>Soporte equipamiento CPD Centro de Continuidad de Servicio (CCS)</t>
  </si>
  <si>
    <t>Soporte equipamiento CPD Global</t>
  </si>
  <si>
    <t>08SER000</t>
  </si>
  <si>
    <t>08SER001</t>
  </si>
  <si>
    <t>08SER002</t>
  </si>
  <si>
    <t>08SER003</t>
  </si>
  <si>
    <t>08SER004</t>
  </si>
  <si>
    <t>08SER005</t>
  </si>
  <si>
    <t>08SER006</t>
  </si>
  <si>
    <t>08SER007</t>
  </si>
  <si>
    <t>08SER008</t>
  </si>
  <si>
    <t>08SER009</t>
  </si>
  <si>
    <t>Análisis del entorno</t>
  </si>
  <si>
    <t>Plan de instalación, migración y/o evolución</t>
  </si>
  <si>
    <t>Despliegue del equipamiento y configuración</t>
  </si>
  <si>
    <t>Migración de conexiones SAN al nuevo equipamiento</t>
  </si>
  <si>
    <t>Realizacion de rutas de fibras entre emplazamientos</t>
  </si>
  <si>
    <t>Puesta en marcha y pruebas</t>
  </si>
  <si>
    <t>Gestión de proyecto</t>
  </si>
  <si>
    <t>Documentación</t>
  </si>
  <si>
    <t>Plan de formación</t>
  </si>
  <si>
    <t>Total 04</t>
  </si>
  <si>
    <t>Total 05</t>
  </si>
  <si>
    <t>Total 06</t>
  </si>
  <si>
    <t>► El sumatorio del total correspondiente a la celda TOTAL BASE IMPONIBLE no puede superar el valor de la Base Imponible. Este valor máximo asciende a: 2.453.762,96 euros</t>
  </si>
  <si>
    <t>► El sumatorio del total correspondiente a la celda TOTAL PRESUPUESTO BASE LICITACIÓN no puede superar el valor del Presupuesto Base Licitación. Este valor máximo asciende a: 2.969.053,18 euros.</t>
  </si>
  <si>
    <t xml:space="preserve">► El precio ofertado en cada una de las partidas y/o unidades puede superar el precio unitario de licitación (referencia €). </t>
  </si>
  <si>
    <t>Referencia unidad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</si>
</sst>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00\ &quot;€&quot;"/>
    <numFmt numFmtId="166" formatCode="#,##0.00000\ &quot;€&quot;"/>
  </numFmts>
  <fonts count="10"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1"/>
      <color rgb="FFFF00FF"/>
      <name val="Calibri"/>
      <family val="2"/>
      <scheme val="minor"/>
    </font>
    <font>
      <sz val="11"/>
      <name val="Calibri"/>
      <family val="2"/>
      <scheme val="minor"/>
    </font>
    <font>
      <b/>
      <sz val="11"/>
      <name val="Calibri"/>
      <family val="2"/>
      <scheme val="minor"/>
    </font>
    <font>
      <b/>
      <sz val="11"/>
      <color rgb="FFFF0000"/>
      <name val="Calibri"/>
      <family val="2"/>
      <scheme val="minor"/>
    </font>
    <font>
      <b/>
      <sz val="11"/>
      <color theme="0"/>
      <name val="Calibri"/>
      <family val="2"/>
      <scheme val="minor"/>
    </font>
    <font>
      <sz val="11"/>
      <color theme="0"/>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99FFCC"/>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2" fillId="0" borderId="0" xfId="0" applyFont="1" applyProtection="1"/>
    <xf numFmtId="0" fontId="0" fillId="0" borderId="0" xfId="0" applyFont="1" applyProtection="1"/>
    <xf numFmtId="0" fontId="2" fillId="0" borderId="0" xfId="0" applyFont="1" applyAlignment="1" applyProtection="1">
      <alignment vertical="top"/>
    </xf>
    <xf numFmtId="0" fontId="0" fillId="0" borderId="0" xfId="0" applyFont="1" applyAlignment="1" applyProtection="1">
      <alignment vertical="top"/>
    </xf>
    <xf numFmtId="0" fontId="3" fillId="0" borderId="0" xfId="0" applyFont="1" applyAlignment="1" applyProtection="1">
      <alignment vertical="top"/>
    </xf>
    <xf numFmtId="0" fontId="3" fillId="0" borderId="0" xfId="0" applyFont="1" applyAlignment="1" applyProtection="1">
      <alignment vertical="top" wrapText="1"/>
    </xf>
    <xf numFmtId="49" fontId="2" fillId="2" borderId="0" xfId="0" applyNumberFormat="1" applyFont="1" applyFill="1" applyAlignment="1" applyProtection="1">
      <alignment vertical="top"/>
    </xf>
    <xf numFmtId="49" fontId="2" fillId="2" borderId="0" xfId="0" applyNumberFormat="1" applyFont="1" applyFill="1" applyAlignment="1" applyProtection="1">
      <alignment vertical="top" wrapText="1"/>
    </xf>
    <xf numFmtId="49" fontId="0" fillId="3" borderId="0" xfId="0" applyNumberFormat="1" applyFont="1" applyFill="1" applyAlignment="1" applyProtection="1">
      <alignment vertical="top"/>
    </xf>
    <xf numFmtId="49" fontId="0" fillId="0" borderId="0" xfId="0" applyNumberFormat="1" applyFont="1" applyAlignment="1" applyProtection="1">
      <alignment vertical="top"/>
    </xf>
    <xf numFmtId="49" fontId="0" fillId="0" borderId="0" xfId="0" applyNumberFormat="1" applyFont="1" applyAlignment="1" applyProtection="1">
      <alignment vertical="top" wrapText="1"/>
    </xf>
    <xf numFmtId="49" fontId="2" fillId="0" borderId="0" xfId="0" applyNumberFormat="1" applyFont="1" applyAlignment="1" applyProtection="1">
      <alignment vertical="top" wrapText="1"/>
    </xf>
    <xf numFmtId="0" fontId="0" fillId="4" borderId="0" xfId="0" applyFont="1" applyFill="1" applyAlignment="1" applyProtection="1">
      <alignment vertical="top"/>
    </xf>
    <xf numFmtId="0" fontId="0" fillId="4" borderId="0" xfId="0" applyFont="1" applyFill="1" applyAlignment="1" applyProtection="1">
      <alignment vertical="top" wrapText="1"/>
    </xf>
    <xf numFmtId="0" fontId="0" fillId="0" borderId="0" xfId="0" applyFont="1" applyFill="1" applyAlignment="1" applyProtection="1">
      <alignment vertical="top"/>
    </xf>
    <xf numFmtId="0" fontId="0" fillId="0" borderId="0" xfId="0" applyFont="1" applyFill="1" applyAlignment="1" applyProtection="1">
      <alignment vertical="top" wrapText="1"/>
    </xf>
    <xf numFmtId="164" fontId="7" fillId="0" borderId="0" xfId="0" applyNumberFormat="1" applyFont="1" applyProtection="1"/>
    <xf numFmtId="10" fontId="6" fillId="5" borderId="0" xfId="1" applyNumberFormat="1" applyFont="1" applyFill="1" applyAlignment="1" applyProtection="1">
      <alignment horizontal="right" vertical="top" indent="1"/>
      <protection locked="0"/>
    </xf>
    <xf numFmtId="3" fontId="5" fillId="0" borderId="0" xfId="0" applyNumberFormat="1" applyFont="1" applyAlignment="1" applyProtection="1">
      <alignment horizontal="right" vertical="top" indent="1"/>
    </xf>
    <xf numFmtId="0" fontId="5" fillId="0" borderId="0" xfId="0" applyFont="1" applyFill="1" applyAlignment="1" applyProtection="1">
      <alignment vertical="top"/>
    </xf>
    <xf numFmtId="4" fontId="5" fillId="0" borderId="0" xfId="0" applyNumberFormat="1" applyFont="1" applyAlignment="1" applyProtection="1">
      <alignment horizontal="right" indent="1"/>
    </xf>
    <xf numFmtId="10" fontId="6" fillId="0" borderId="0" xfId="1" applyNumberFormat="1" applyFont="1" applyAlignment="1" applyProtection="1">
      <alignment horizontal="right" vertical="top" indent="1"/>
    </xf>
    <xf numFmtId="164" fontId="5" fillId="0" borderId="0" xfId="0" applyNumberFormat="1" applyFont="1" applyProtection="1"/>
    <xf numFmtId="164" fontId="6" fillId="0" borderId="0" xfId="0" applyNumberFormat="1" applyFont="1" applyAlignment="1" applyProtection="1">
      <alignment vertical="top"/>
    </xf>
    <xf numFmtId="0" fontId="0" fillId="0" borderId="0" xfId="0" applyFont="1"/>
    <xf numFmtId="4" fontId="5" fillId="0" borderId="0" xfId="0" applyNumberFormat="1" applyFont="1" applyFill="1" applyAlignment="1" applyProtection="1">
      <alignment horizontal="right" vertical="top" indent="1"/>
      <protection locked="0"/>
    </xf>
    <xf numFmtId="4" fontId="5" fillId="0" borderId="0" xfId="0" applyNumberFormat="1" applyFont="1" applyAlignment="1" applyProtection="1">
      <alignment horizontal="right" indent="1"/>
      <protection locked="0"/>
    </xf>
    <xf numFmtId="164" fontId="6" fillId="0" borderId="0" xfId="0" applyNumberFormat="1" applyFont="1" applyAlignment="1" applyProtection="1">
      <alignment horizontal="right" vertical="top" indent="1"/>
    </xf>
    <xf numFmtId="164" fontId="5" fillId="0" borderId="0" xfId="0" applyNumberFormat="1" applyFont="1" applyFill="1" applyAlignment="1" applyProtection="1">
      <alignment horizontal="right" vertical="top" indent="1"/>
    </xf>
    <xf numFmtId="164" fontId="5" fillId="0" borderId="0" xfId="0" applyNumberFormat="1" applyFont="1" applyAlignment="1" applyProtection="1">
      <alignment horizontal="right" indent="1"/>
    </xf>
    <xf numFmtId="0" fontId="2" fillId="2" borderId="0" xfId="0" applyFont="1" applyFill="1" applyAlignment="1" applyProtection="1">
      <alignment vertical="top"/>
    </xf>
    <xf numFmtId="3" fontId="4" fillId="2" borderId="0" xfId="0" applyNumberFormat="1" applyFont="1" applyFill="1" applyAlignment="1" applyProtection="1">
      <alignment vertical="top"/>
    </xf>
    <xf numFmtId="164" fontId="6" fillId="2" borderId="0" xfId="0" applyNumberFormat="1" applyFont="1" applyFill="1" applyAlignment="1" applyProtection="1">
      <alignment vertical="top"/>
    </xf>
    <xf numFmtId="4" fontId="0" fillId="0" borderId="0" xfId="0" applyNumberFormat="1" applyFont="1" applyAlignment="1" applyProtection="1">
      <alignment vertical="top"/>
    </xf>
    <xf numFmtId="164" fontId="0" fillId="0" borderId="0" xfId="0" applyNumberFormat="1" applyFont="1" applyAlignment="1" applyProtection="1">
      <alignment vertical="top"/>
    </xf>
    <xf numFmtId="49" fontId="2" fillId="0" borderId="0" xfId="0" applyNumberFormat="1" applyFont="1" applyAlignment="1" applyProtection="1">
      <alignment vertical="top"/>
    </xf>
    <xf numFmtId="3" fontId="0" fillId="0" borderId="0" xfId="0" applyNumberFormat="1" applyFont="1" applyAlignment="1" applyProtection="1">
      <alignment vertical="top"/>
    </xf>
    <xf numFmtId="164" fontId="0" fillId="4" borderId="0" xfId="0" applyNumberFormat="1" applyFont="1" applyFill="1" applyAlignment="1" applyProtection="1">
      <alignment vertical="top"/>
    </xf>
    <xf numFmtId="164" fontId="0" fillId="0" borderId="0" xfId="0" applyNumberFormat="1" applyFont="1" applyProtection="1"/>
    <xf numFmtId="164" fontId="5" fillId="0" borderId="0" xfId="0" applyNumberFormat="1" applyFont="1" applyFill="1" applyAlignment="1" applyProtection="1">
      <alignment horizontal="right" indent="1"/>
    </xf>
    <xf numFmtId="0" fontId="0" fillId="0" borderId="0" xfId="0" applyFont="1" applyAlignment="1" applyProtection="1">
      <alignment horizontal="left" vertical="center"/>
    </xf>
    <xf numFmtId="164" fontId="0" fillId="0" borderId="0" xfId="0" applyNumberFormat="1" applyFont="1"/>
    <xf numFmtId="4" fontId="0" fillId="0" borderId="0" xfId="0" applyNumberFormat="1" applyFont="1"/>
    <xf numFmtId="165" fontId="0" fillId="0" borderId="0" xfId="0" applyNumberFormat="1" applyFont="1"/>
    <xf numFmtId="164" fontId="8" fillId="0" borderId="0" xfId="0" applyNumberFormat="1" applyFont="1" applyAlignment="1" applyProtection="1">
      <alignment horizontal="right" vertical="top" indent="1"/>
    </xf>
    <xf numFmtId="0" fontId="9" fillId="0" borderId="0" xfId="0" applyFont="1" applyProtection="1"/>
    <xf numFmtId="164" fontId="9" fillId="0" borderId="0" xfId="0" applyNumberFormat="1" applyFont="1" applyAlignment="1" applyProtection="1">
      <alignment vertical="top"/>
    </xf>
    <xf numFmtId="166" fontId="9" fillId="0" borderId="0" xfId="0" applyNumberFormat="1" applyFont="1" applyProtection="1"/>
    <xf numFmtId="0" fontId="8" fillId="0" borderId="0" xfId="0" applyFont="1" applyAlignment="1" applyProtection="1">
      <alignment horizontal="left" vertical="center"/>
    </xf>
    <xf numFmtId="0" fontId="9" fillId="0" borderId="0" xfId="0" applyFont="1" applyFill="1" applyProtection="1"/>
    <xf numFmtId="0" fontId="0" fillId="0" borderId="0" xfId="0" applyFont="1" applyAlignment="1" applyProtection="1">
      <alignment horizontal="left" vertical="center"/>
    </xf>
    <xf numFmtId="0" fontId="5" fillId="0" borderId="0" xfId="0" applyFont="1" applyProtection="1"/>
    <xf numFmtId="0" fontId="9" fillId="0" borderId="0" xfId="0" applyFont="1"/>
    <xf numFmtId="164" fontId="9" fillId="0" borderId="0" xfId="0" applyNumberFormat="1" applyFont="1" applyProtection="1"/>
    <xf numFmtId="164" fontId="9" fillId="0" borderId="0" xfId="0" applyNumberFormat="1" applyFont="1"/>
    <xf numFmtId="164" fontId="8" fillId="0" borderId="0" xfId="0" applyNumberFormat="1" applyFont="1" applyAlignment="1" applyProtection="1">
      <alignment vertical="top"/>
    </xf>
    <xf numFmtId="4" fontId="9" fillId="0" borderId="0" xfId="0" applyNumberFormat="1" applyFont="1" applyFill="1" applyProtection="1"/>
    <xf numFmtId="165" fontId="9" fillId="0" borderId="0" xfId="0" applyNumberFormat="1" applyFont="1" applyProtection="1"/>
    <xf numFmtId="164" fontId="5" fillId="5" borderId="0" xfId="1" applyNumberFormat="1" applyFont="1" applyFill="1" applyAlignment="1" applyProtection="1">
      <alignment horizontal="right" vertical="top" indent="1"/>
      <protection locked="0"/>
    </xf>
    <xf numFmtId="0" fontId="2" fillId="0" borderId="0" xfId="0" applyFont="1" applyAlignment="1" applyProtection="1">
      <alignment horizontal="left" vertical="top"/>
    </xf>
    <xf numFmtId="0" fontId="0" fillId="0" borderId="0" xfId="0" applyFont="1" applyAlignment="1" applyProtection="1">
      <alignment horizontal="left" vertical="center" wrapText="1"/>
    </xf>
    <xf numFmtId="0" fontId="0" fillId="0" borderId="0" xfId="0" applyFont="1" applyAlignment="1" applyProtection="1">
      <alignment horizontal="left" vertical="center"/>
    </xf>
    <xf numFmtId="2" fontId="0" fillId="0" borderId="0" xfId="0" applyNumberFormat="1" applyFont="1" applyAlignment="1" applyProtection="1">
      <alignment horizontal="left"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79B4C-7441-4028-AA45-8575AAD3AE78}">
  <dimension ref="A1:Q78"/>
  <sheetViews>
    <sheetView tabSelected="1" zoomScale="90" zoomScaleNormal="90" workbookViewId="0">
      <pane xSplit="4" ySplit="3" topLeftCell="E4" activePane="bottomRight" state="frozen"/>
      <selection pane="topRight" activeCell="E1" sqref="E1"/>
      <selection pane="bottomLeft" activeCell="A4" sqref="A4"/>
      <selection pane="bottomRight" activeCell="F11" sqref="F11"/>
    </sheetView>
  </sheetViews>
  <sheetFormatPr baseColWidth="10" defaultColWidth="11.44140625" defaultRowHeight="14.4" x14ac:dyDescent="0.3"/>
  <cols>
    <col min="1" max="1" width="10.33203125" style="25" customWidth="1" collapsed="1"/>
    <col min="2" max="2" width="8.44140625" style="25" bestFit="1" customWidth="1" collapsed="1"/>
    <col min="3" max="3" width="3.6640625" style="25" bestFit="1" customWidth="1" collapsed="1"/>
    <col min="4" max="4" width="66.6640625" style="25" bestFit="1" customWidth="1" collapsed="1"/>
    <col min="5" max="5" width="12.33203125" style="25" bestFit="1" customWidth="1" collapsed="1"/>
    <col min="6" max="6" width="25.109375" style="25" bestFit="1" customWidth="1" collapsed="1"/>
    <col min="7" max="7" width="22.6640625" style="25" bestFit="1" customWidth="1" collapsed="1"/>
    <col min="8" max="8" width="22.6640625" style="25" customWidth="1"/>
    <col min="9" max="9" width="15.33203125" style="25" bestFit="1" customWidth="1" collapsed="1"/>
    <col min="10" max="10" width="12.44140625" style="25" customWidth="1" collapsed="1"/>
    <col min="11" max="11" width="17.44140625" style="25" bestFit="1" customWidth="1" collapsed="1"/>
    <col min="12" max="12" width="21.44140625" style="25" customWidth="1" collapsed="1"/>
    <col min="13" max="13" width="12.44140625" style="25" bestFit="1" customWidth="1" collapsed="1"/>
    <col min="14" max="14" width="11.44140625" style="25" collapsed="1"/>
    <col min="15" max="15" width="13.5546875" style="25" bestFit="1" customWidth="1" collapsed="1"/>
    <col min="16" max="16" width="11.44140625" style="25" collapsed="1"/>
    <col min="17" max="17" width="11.44140625" style="25"/>
    <col min="18" max="16384" width="11.44140625" style="25" collapsed="1"/>
  </cols>
  <sheetData>
    <row r="1" spans="1:16" x14ac:dyDescent="0.3">
      <c r="A1" s="60" t="s">
        <v>24</v>
      </c>
      <c r="B1" s="60"/>
      <c r="C1" s="60"/>
      <c r="D1" s="60"/>
      <c r="E1" s="60"/>
      <c r="F1" s="60"/>
      <c r="G1" s="60"/>
      <c r="H1" s="60"/>
      <c r="I1" s="60"/>
      <c r="J1" s="46"/>
      <c r="K1" s="46"/>
      <c r="L1" s="2"/>
    </row>
    <row r="2" spans="1:16" x14ac:dyDescent="0.3">
      <c r="A2" s="3" t="s">
        <v>0</v>
      </c>
      <c r="B2" s="4"/>
      <c r="C2" s="4"/>
      <c r="D2" s="4"/>
      <c r="E2" s="4"/>
      <c r="F2" s="4"/>
      <c r="G2" s="4"/>
      <c r="H2" s="4"/>
      <c r="I2" s="4"/>
      <c r="J2" s="46"/>
      <c r="K2" s="46"/>
      <c r="L2" s="2"/>
    </row>
    <row r="3" spans="1:16" x14ac:dyDescent="0.3">
      <c r="A3" s="5" t="s">
        <v>1</v>
      </c>
      <c r="B3" s="5" t="s">
        <v>2</v>
      </c>
      <c r="C3" s="5" t="s">
        <v>3</v>
      </c>
      <c r="D3" s="6" t="s">
        <v>4</v>
      </c>
      <c r="E3" s="5" t="s">
        <v>5</v>
      </c>
      <c r="F3" s="6" t="s">
        <v>23</v>
      </c>
      <c r="G3" s="6" t="s">
        <v>12</v>
      </c>
      <c r="H3" s="6" t="s">
        <v>94</v>
      </c>
      <c r="I3" s="5" t="s">
        <v>13</v>
      </c>
      <c r="J3" s="52"/>
      <c r="K3" s="52"/>
      <c r="L3" s="2"/>
    </row>
    <row r="4" spans="1:16" x14ac:dyDescent="0.3">
      <c r="A4" s="7" t="s">
        <v>28</v>
      </c>
      <c r="B4" s="7" t="s">
        <v>6</v>
      </c>
      <c r="C4" s="7" t="s">
        <v>7</v>
      </c>
      <c r="D4" s="8" t="s">
        <v>29</v>
      </c>
      <c r="E4" s="31"/>
      <c r="F4" s="32"/>
      <c r="G4" s="33">
        <f>G7</f>
        <v>0</v>
      </c>
      <c r="H4" s="33"/>
      <c r="I4" s="33">
        <f>I7</f>
        <v>414839.94</v>
      </c>
      <c r="J4" s="46"/>
      <c r="K4" s="46"/>
      <c r="L4" s="46"/>
      <c r="M4" s="53"/>
    </row>
    <row r="5" spans="1:16" x14ac:dyDescent="0.3">
      <c r="A5" s="9" t="s">
        <v>30</v>
      </c>
      <c r="B5" s="10" t="s">
        <v>8</v>
      </c>
      <c r="C5" s="10" t="s">
        <v>9</v>
      </c>
      <c r="D5" s="11" t="s">
        <v>34</v>
      </c>
      <c r="E5" s="34">
        <v>2</v>
      </c>
      <c r="F5" s="59"/>
      <c r="G5" s="35">
        <f>E5*F5</f>
        <v>0</v>
      </c>
      <c r="H5" s="35">
        <f>I5/E5</f>
        <v>206107.17</v>
      </c>
      <c r="I5" s="35">
        <f>E5*K5</f>
        <v>412214.34</v>
      </c>
      <c r="J5" s="47">
        <v>237023.35999999999</v>
      </c>
      <c r="K5" s="54">
        <f>(J5/1.15)-0.1</f>
        <v>206107.17</v>
      </c>
      <c r="L5" s="46"/>
      <c r="M5" s="55"/>
      <c r="O5" s="44"/>
    </row>
    <row r="6" spans="1:16" x14ac:dyDescent="0.3">
      <c r="A6" s="9" t="s">
        <v>31</v>
      </c>
      <c r="B6" s="10" t="s">
        <v>8</v>
      </c>
      <c r="C6" s="10" t="s">
        <v>9</v>
      </c>
      <c r="D6" s="11" t="s">
        <v>35</v>
      </c>
      <c r="E6" s="34">
        <v>120</v>
      </c>
      <c r="F6" s="59"/>
      <c r="G6" s="35">
        <f>E6*F6</f>
        <v>0</v>
      </c>
      <c r="H6" s="35">
        <f>I6/E6</f>
        <v>21.88</v>
      </c>
      <c r="I6" s="35">
        <f>E6*K6</f>
        <v>2625.6</v>
      </c>
      <c r="J6" s="47">
        <v>25.16</v>
      </c>
      <c r="K6" s="54">
        <f>(J6/1.15)</f>
        <v>21.88</v>
      </c>
      <c r="L6" s="46"/>
      <c r="M6" s="55"/>
    </row>
    <row r="7" spans="1:16" x14ac:dyDescent="0.3">
      <c r="A7" s="4"/>
      <c r="B7" s="4"/>
      <c r="C7" s="4"/>
      <c r="D7" s="36" t="s">
        <v>10</v>
      </c>
      <c r="E7" s="2"/>
      <c r="F7" s="37"/>
      <c r="G7" s="24">
        <f>SUM(G5:G6)</f>
        <v>0</v>
      </c>
      <c r="H7" s="24"/>
      <c r="I7" s="24">
        <f>SUM(I5:I6)</f>
        <v>414839.94</v>
      </c>
      <c r="J7" s="56">
        <v>477065.92</v>
      </c>
      <c r="K7" s="54">
        <f>(J7/1.15)</f>
        <v>414839.93</v>
      </c>
      <c r="L7" s="54">
        <f>I7-K7</f>
        <v>0.01</v>
      </c>
      <c r="M7" s="53"/>
    </row>
    <row r="8" spans="1:16" x14ac:dyDescent="0.3">
      <c r="A8" s="4"/>
      <c r="B8" s="4"/>
      <c r="C8" s="4"/>
      <c r="D8" s="36"/>
      <c r="E8" s="2"/>
      <c r="F8" s="37"/>
      <c r="G8" s="24"/>
      <c r="H8" s="24"/>
      <c r="I8" s="24"/>
      <c r="J8" s="49"/>
      <c r="K8" s="48"/>
      <c r="L8" s="54"/>
      <c r="M8" s="53"/>
      <c r="O8" s="44"/>
      <c r="P8" s="42"/>
    </row>
    <row r="9" spans="1:16" x14ac:dyDescent="0.3">
      <c r="A9" s="7" t="s">
        <v>32</v>
      </c>
      <c r="B9" s="7" t="s">
        <v>6</v>
      </c>
      <c r="C9" s="7" t="s">
        <v>9</v>
      </c>
      <c r="D9" s="8" t="s">
        <v>33</v>
      </c>
      <c r="E9" s="31">
        <v>1</v>
      </c>
      <c r="F9" s="32"/>
      <c r="G9" s="33">
        <f>G12</f>
        <v>0</v>
      </c>
      <c r="H9" s="33"/>
      <c r="I9" s="33">
        <f>I12</f>
        <v>170883.48</v>
      </c>
      <c r="J9" s="49" t="str">
        <f t="shared" ref="J9:J14" si="0">IF(F9&gt;I9,"!!!","")</f>
        <v/>
      </c>
      <c r="K9" s="48"/>
      <c r="L9" s="54"/>
      <c r="M9" s="53"/>
    </row>
    <row r="10" spans="1:16" x14ac:dyDescent="0.3">
      <c r="A10" s="9" t="s">
        <v>36</v>
      </c>
      <c r="B10" s="10" t="s">
        <v>8</v>
      </c>
      <c r="C10" s="10" t="s">
        <v>9</v>
      </c>
      <c r="D10" s="11" t="s">
        <v>39</v>
      </c>
      <c r="E10" s="34">
        <v>2</v>
      </c>
      <c r="F10" s="59"/>
      <c r="G10" s="35">
        <f>E10*F10</f>
        <v>0</v>
      </c>
      <c r="H10" s="35">
        <f>I10/E10</f>
        <v>84347.74</v>
      </c>
      <c r="I10" s="35">
        <f>E10*K10</f>
        <v>168695.48</v>
      </c>
      <c r="J10" s="47">
        <v>97000</v>
      </c>
      <c r="K10" s="54">
        <f>(J10/1.15)-0.09</f>
        <v>84347.74</v>
      </c>
      <c r="L10" s="54"/>
      <c r="M10" s="53"/>
    </row>
    <row r="11" spans="1:16" x14ac:dyDescent="0.3">
      <c r="A11" s="9" t="s">
        <v>37</v>
      </c>
      <c r="B11" s="10" t="s">
        <v>8</v>
      </c>
      <c r="C11" s="10" t="s">
        <v>9</v>
      </c>
      <c r="D11" s="11" t="s">
        <v>35</v>
      </c>
      <c r="E11" s="34">
        <v>100</v>
      </c>
      <c r="F11" s="59"/>
      <c r="G11" s="35">
        <f>E11*F11</f>
        <v>0</v>
      </c>
      <c r="H11" s="35">
        <f>I11/E11</f>
        <v>21.88</v>
      </c>
      <c r="I11" s="35">
        <f>E11*K11</f>
        <v>2188</v>
      </c>
      <c r="J11" s="47">
        <v>25.16</v>
      </c>
      <c r="K11" s="54">
        <f t="shared" ref="K11:K50" si="1">(J11/1.15)</f>
        <v>21.88</v>
      </c>
      <c r="L11" s="54"/>
      <c r="M11" s="53"/>
    </row>
    <row r="12" spans="1:16" x14ac:dyDescent="0.3">
      <c r="A12" s="4"/>
      <c r="B12" s="4"/>
      <c r="C12" s="4"/>
      <c r="D12" s="36" t="s">
        <v>11</v>
      </c>
      <c r="E12" s="2"/>
      <c r="F12" s="37"/>
      <c r="G12" s="24">
        <f>SUM(G10:G11)</f>
        <v>0</v>
      </c>
      <c r="H12" s="24"/>
      <c r="I12" s="24">
        <f>SUM(I10:I11)</f>
        <v>170883.48</v>
      </c>
      <c r="J12" s="56">
        <v>196516</v>
      </c>
      <c r="K12" s="54">
        <f t="shared" si="1"/>
        <v>170883.48</v>
      </c>
      <c r="L12" s="54">
        <f t="shared" ref="L12:L50" si="2">I12-K12</f>
        <v>0</v>
      </c>
      <c r="M12" s="53"/>
      <c r="P12" s="43"/>
    </row>
    <row r="13" spans="1:16" x14ac:dyDescent="0.3">
      <c r="A13" s="4"/>
      <c r="B13" s="4"/>
      <c r="C13" s="4"/>
      <c r="D13" s="36"/>
      <c r="E13" s="2"/>
      <c r="F13" s="37"/>
      <c r="G13" s="24"/>
      <c r="H13" s="24"/>
      <c r="I13" s="24"/>
      <c r="J13" s="49"/>
      <c r="K13" s="48"/>
      <c r="L13" s="54"/>
      <c r="M13" s="53"/>
    </row>
    <row r="14" spans="1:16" x14ac:dyDescent="0.3">
      <c r="A14" s="7" t="s">
        <v>38</v>
      </c>
      <c r="B14" s="7" t="s">
        <v>6</v>
      </c>
      <c r="C14" s="7" t="s">
        <v>9</v>
      </c>
      <c r="D14" s="8" t="s">
        <v>40</v>
      </c>
      <c r="E14" s="31">
        <v>1</v>
      </c>
      <c r="F14" s="32"/>
      <c r="G14" s="33">
        <f>G17</f>
        <v>0</v>
      </c>
      <c r="H14" s="33"/>
      <c r="I14" s="33">
        <f>I17</f>
        <v>170883.48</v>
      </c>
      <c r="J14" s="49" t="str">
        <f t="shared" si="0"/>
        <v/>
      </c>
      <c r="K14" s="48"/>
      <c r="L14" s="54"/>
      <c r="M14" s="53"/>
    </row>
    <row r="15" spans="1:16" x14ac:dyDescent="0.3">
      <c r="A15" s="9" t="s">
        <v>41</v>
      </c>
      <c r="B15" s="10" t="s">
        <v>8</v>
      </c>
      <c r="C15" s="10" t="s">
        <v>9</v>
      </c>
      <c r="D15" s="11" t="s">
        <v>39</v>
      </c>
      <c r="E15" s="34">
        <v>2</v>
      </c>
      <c r="F15" s="59"/>
      <c r="G15" s="35">
        <f>E15*F15</f>
        <v>0</v>
      </c>
      <c r="H15" s="35">
        <f>I15/E15</f>
        <v>84347.74</v>
      </c>
      <c r="I15" s="35">
        <f>E15*K15</f>
        <v>168695.48</v>
      </c>
      <c r="J15" s="47">
        <v>97000</v>
      </c>
      <c r="K15" s="54">
        <f>(J15/1.15)-0.09</f>
        <v>84347.74</v>
      </c>
      <c r="L15" s="54"/>
      <c r="M15" s="53"/>
    </row>
    <row r="16" spans="1:16" x14ac:dyDescent="0.3">
      <c r="A16" s="9" t="s">
        <v>42</v>
      </c>
      <c r="B16" s="10" t="s">
        <v>8</v>
      </c>
      <c r="C16" s="10" t="s">
        <v>9</v>
      </c>
      <c r="D16" s="11" t="s">
        <v>35</v>
      </c>
      <c r="E16" s="34">
        <v>100</v>
      </c>
      <c r="F16" s="59"/>
      <c r="G16" s="35">
        <f>E16*F16</f>
        <v>0</v>
      </c>
      <c r="H16" s="35">
        <f>I16/E16</f>
        <v>21.88</v>
      </c>
      <c r="I16" s="35">
        <f>E16*K16</f>
        <v>2188</v>
      </c>
      <c r="J16" s="47">
        <v>25.16</v>
      </c>
      <c r="K16" s="54">
        <f t="shared" si="1"/>
        <v>21.88</v>
      </c>
      <c r="L16" s="54"/>
      <c r="M16" s="53"/>
    </row>
    <row r="17" spans="1:13" x14ac:dyDescent="0.3">
      <c r="A17" s="4"/>
      <c r="B17" s="4"/>
      <c r="C17" s="4"/>
      <c r="D17" s="36" t="s">
        <v>26</v>
      </c>
      <c r="E17" s="2"/>
      <c r="F17" s="37"/>
      <c r="G17" s="24">
        <f>SUM(G15:G16)</f>
        <v>0</v>
      </c>
      <c r="H17" s="24"/>
      <c r="I17" s="24">
        <f>SUM(I15:I16)</f>
        <v>170883.48</v>
      </c>
      <c r="J17" s="56">
        <v>196516</v>
      </c>
      <c r="K17" s="54">
        <f t="shared" si="1"/>
        <v>170883.48</v>
      </c>
      <c r="L17" s="54">
        <f t="shared" si="2"/>
        <v>0</v>
      </c>
      <c r="M17" s="53"/>
    </row>
    <row r="18" spans="1:13" x14ac:dyDescent="0.3">
      <c r="A18" s="4"/>
      <c r="B18" s="4"/>
      <c r="C18" s="4"/>
      <c r="D18" s="36"/>
      <c r="E18" s="2"/>
      <c r="F18" s="37"/>
      <c r="G18" s="24"/>
      <c r="H18" s="24"/>
      <c r="I18" s="24"/>
      <c r="J18" s="46"/>
      <c r="K18" s="48"/>
      <c r="L18" s="54"/>
      <c r="M18" s="53"/>
    </row>
    <row r="19" spans="1:13" x14ac:dyDescent="0.3">
      <c r="A19" s="7" t="s">
        <v>43</v>
      </c>
      <c r="B19" s="7" t="s">
        <v>6</v>
      </c>
      <c r="C19" s="7" t="s">
        <v>9</v>
      </c>
      <c r="D19" s="8" t="s">
        <v>44</v>
      </c>
      <c r="E19" s="31">
        <v>1</v>
      </c>
      <c r="F19" s="32"/>
      <c r="G19" s="33">
        <f>G21</f>
        <v>0</v>
      </c>
      <c r="H19" s="33"/>
      <c r="I19" s="33">
        <f>I21</f>
        <v>89249.46</v>
      </c>
      <c r="J19" s="46"/>
      <c r="K19" s="48"/>
      <c r="L19" s="54"/>
      <c r="M19" s="53"/>
    </row>
    <row r="20" spans="1:13" x14ac:dyDescent="0.3">
      <c r="A20" s="9" t="s">
        <v>45</v>
      </c>
      <c r="B20" s="10" t="s">
        <v>8</v>
      </c>
      <c r="C20" s="10" t="s">
        <v>9</v>
      </c>
      <c r="D20" s="11" t="s">
        <v>46</v>
      </c>
      <c r="E20" s="34">
        <v>2</v>
      </c>
      <c r="F20" s="59"/>
      <c r="G20" s="35">
        <f>E20*F20</f>
        <v>0</v>
      </c>
      <c r="H20" s="35">
        <f>I20/E20</f>
        <v>44624.73</v>
      </c>
      <c r="I20" s="35">
        <f>E20*K20</f>
        <v>89249.46</v>
      </c>
      <c r="J20" s="47">
        <v>51318.44</v>
      </c>
      <c r="K20" s="54">
        <f t="shared" si="1"/>
        <v>44624.730430000003</v>
      </c>
      <c r="L20" s="54"/>
      <c r="M20" s="53"/>
    </row>
    <row r="21" spans="1:13" x14ac:dyDescent="0.3">
      <c r="A21" s="4"/>
      <c r="B21" s="4"/>
      <c r="C21" s="4"/>
      <c r="D21" s="36" t="s">
        <v>88</v>
      </c>
      <c r="E21" s="2"/>
      <c r="F21" s="37"/>
      <c r="G21" s="24">
        <f>SUM(G20)</f>
        <v>0</v>
      </c>
      <c r="H21" s="24"/>
      <c r="I21" s="24">
        <f>SUM(I20)</f>
        <v>89249.46</v>
      </c>
      <c r="J21" s="56">
        <v>102636.88</v>
      </c>
      <c r="K21" s="54">
        <f t="shared" si="1"/>
        <v>89249.46</v>
      </c>
      <c r="L21" s="54">
        <f t="shared" si="2"/>
        <v>0</v>
      </c>
      <c r="M21" s="53"/>
    </row>
    <row r="22" spans="1:13" x14ac:dyDescent="0.3">
      <c r="A22" s="4"/>
      <c r="B22" s="4"/>
      <c r="C22" s="4"/>
      <c r="D22" s="36"/>
      <c r="E22" s="2"/>
      <c r="F22" s="37"/>
      <c r="G22" s="24"/>
      <c r="H22" s="24"/>
      <c r="I22" s="24"/>
      <c r="J22" s="46"/>
      <c r="K22" s="48"/>
      <c r="L22" s="54"/>
      <c r="M22" s="53"/>
    </row>
    <row r="23" spans="1:13" x14ac:dyDescent="0.3">
      <c r="A23" s="7" t="s">
        <v>47</v>
      </c>
      <c r="B23" s="7" t="s">
        <v>6</v>
      </c>
      <c r="C23" s="7" t="s">
        <v>9</v>
      </c>
      <c r="D23" s="8" t="s">
        <v>48</v>
      </c>
      <c r="E23" s="31">
        <v>1</v>
      </c>
      <c r="F23" s="32"/>
      <c r="G23" s="33">
        <f>G25</f>
        <v>0</v>
      </c>
      <c r="H23" s="33"/>
      <c r="I23" s="33">
        <f>I25</f>
        <v>337391.3</v>
      </c>
      <c r="J23" s="46"/>
      <c r="K23" s="48"/>
      <c r="L23" s="54"/>
      <c r="M23" s="53"/>
    </row>
    <row r="24" spans="1:13" x14ac:dyDescent="0.3">
      <c r="A24" s="9" t="s">
        <v>49</v>
      </c>
      <c r="B24" s="10" t="s">
        <v>8</v>
      </c>
      <c r="C24" s="10" t="s">
        <v>9</v>
      </c>
      <c r="D24" s="11" t="s">
        <v>50</v>
      </c>
      <c r="E24" s="34">
        <v>1</v>
      </c>
      <c r="F24" s="59"/>
      <c r="G24" s="35">
        <f>E24*F24</f>
        <v>0</v>
      </c>
      <c r="H24" s="35">
        <f>I24/E24</f>
        <v>337391.3</v>
      </c>
      <c r="I24" s="35">
        <f>E24*K24</f>
        <v>337391.3</v>
      </c>
      <c r="J24" s="47">
        <v>388000</v>
      </c>
      <c r="K24" s="58">
        <f t="shared" si="1"/>
        <v>337391.304</v>
      </c>
      <c r="L24" s="23"/>
      <c r="M24" s="53"/>
    </row>
    <row r="25" spans="1:13" x14ac:dyDescent="0.3">
      <c r="A25" s="4"/>
      <c r="B25" s="4"/>
      <c r="C25" s="4"/>
      <c r="D25" s="36" t="s">
        <v>89</v>
      </c>
      <c r="E25" s="2"/>
      <c r="F25" s="37"/>
      <c r="G25" s="24">
        <f>SUM(G24)</f>
        <v>0</v>
      </c>
      <c r="H25" s="24"/>
      <c r="I25" s="24">
        <f>SUM(I24)</f>
        <v>337391.3</v>
      </c>
      <c r="J25" s="56">
        <v>388000</v>
      </c>
      <c r="K25" s="54">
        <f t="shared" si="1"/>
        <v>337391.3</v>
      </c>
      <c r="L25" s="54">
        <f t="shared" si="2"/>
        <v>0</v>
      </c>
      <c r="M25" s="53"/>
    </row>
    <row r="26" spans="1:13" x14ac:dyDescent="0.3">
      <c r="A26" s="4"/>
      <c r="B26" s="4"/>
      <c r="C26" s="4"/>
      <c r="D26" s="36"/>
      <c r="E26" s="2"/>
      <c r="F26" s="37"/>
      <c r="G26" s="24"/>
      <c r="H26" s="24"/>
      <c r="I26" s="24"/>
      <c r="J26" s="46"/>
      <c r="K26" s="48"/>
      <c r="L26" s="54"/>
      <c r="M26" s="53"/>
    </row>
    <row r="27" spans="1:13" x14ac:dyDescent="0.3">
      <c r="A27" s="7" t="s">
        <v>51</v>
      </c>
      <c r="B27" s="7" t="s">
        <v>6</v>
      </c>
      <c r="C27" s="7"/>
      <c r="D27" s="8" t="s">
        <v>52</v>
      </c>
      <c r="E27" s="31">
        <v>1</v>
      </c>
      <c r="F27" s="32"/>
      <c r="G27" s="33">
        <f>G29</f>
        <v>0</v>
      </c>
      <c r="H27" s="33"/>
      <c r="I27" s="33">
        <f>I29</f>
        <v>538100.78</v>
      </c>
      <c r="J27" s="46"/>
      <c r="K27" s="48"/>
      <c r="L27" s="54"/>
      <c r="M27" s="53"/>
    </row>
    <row r="28" spans="1:13" x14ac:dyDescent="0.3">
      <c r="A28" s="9" t="s">
        <v>53</v>
      </c>
      <c r="B28" s="10" t="s">
        <v>8</v>
      </c>
      <c r="C28" s="10" t="s">
        <v>9</v>
      </c>
      <c r="D28" s="11" t="s">
        <v>54</v>
      </c>
      <c r="E28" s="34">
        <v>2</v>
      </c>
      <c r="F28" s="59"/>
      <c r="G28" s="35">
        <f>E28*F28</f>
        <v>0</v>
      </c>
      <c r="H28" s="35">
        <f>I28/E28</f>
        <v>269050.39</v>
      </c>
      <c r="I28" s="35">
        <f>E28*K28</f>
        <v>538100.78</v>
      </c>
      <c r="J28" s="47">
        <v>309407.95</v>
      </c>
      <c r="K28" s="54">
        <f t="shared" si="1"/>
        <v>269050.39130000002</v>
      </c>
      <c r="L28" s="54"/>
      <c r="M28" s="53"/>
    </row>
    <row r="29" spans="1:13" x14ac:dyDescent="0.3">
      <c r="A29" s="4"/>
      <c r="B29" s="4"/>
      <c r="C29" s="4"/>
      <c r="D29" s="36" t="s">
        <v>90</v>
      </c>
      <c r="E29" s="2"/>
      <c r="F29" s="37"/>
      <c r="G29" s="24">
        <f>SUM(G28)</f>
        <v>0</v>
      </c>
      <c r="H29" s="24"/>
      <c r="I29" s="24">
        <f>SUM(I28)</f>
        <v>538100.78</v>
      </c>
      <c r="J29" s="56">
        <v>618815.9</v>
      </c>
      <c r="K29" s="54">
        <f t="shared" si="1"/>
        <v>538100.78</v>
      </c>
      <c r="L29" s="54">
        <f t="shared" si="2"/>
        <v>0</v>
      </c>
      <c r="M29" s="53"/>
    </row>
    <row r="30" spans="1:13" x14ac:dyDescent="0.3">
      <c r="A30" s="4"/>
      <c r="B30" s="4"/>
      <c r="C30" s="4"/>
      <c r="D30" s="36"/>
      <c r="E30" s="2"/>
      <c r="F30" s="37"/>
      <c r="G30" s="24"/>
      <c r="H30" s="24"/>
      <c r="I30" s="24"/>
      <c r="J30" s="46"/>
      <c r="K30" s="48"/>
      <c r="L30" s="54"/>
      <c r="M30" s="53"/>
    </row>
    <row r="31" spans="1:13" x14ac:dyDescent="0.3">
      <c r="A31" s="7" t="s">
        <v>55</v>
      </c>
      <c r="B31" s="7" t="s">
        <v>6</v>
      </c>
      <c r="C31" s="7" t="s">
        <v>7</v>
      </c>
      <c r="D31" s="8" t="s">
        <v>56</v>
      </c>
      <c r="E31" s="31"/>
      <c r="F31" s="32"/>
      <c r="G31" s="33">
        <f>G38</f>
        <v>0</v>
      </c>
      <c r="H31" s="33"/>
      <c r="I31" s="33">
        <f>I38</f>
        <v>327904.89</v>
      </c>
      <c r="J31" s="46"/>
      <c r="K31" s="48"/>
      <c r="L31" s="54"/>
      <c r="M31" s="53"/>
    </row>
    <row r="32" spans="1:13" x14ac:dyDescent="0.3">
      <c r="A32" s="9" t="s">
        <v>57</v>
      </c>
      <c r="B32" s="10" t="s">
        <v>8</v>
      </c>
      <c r="C32" s="10" t="s">
        <v>9</v>
      </c>
      <c r="D32" s="11" t="s">
        <v>63</v>
      </c>
      <c r="E32" s="34">
        <v>1</v>
      </c>
      <c r="F32" s="59"/>
      <c r="G32" s="35">
        <f>E32*F32</f>
        <v>0</v>
      </c>
      <c r="H32" s="35">
        <f>I32/E32</f>
        <v>94402.16</v>
      </c>
      <c r="I32" s="35">
        <f>E32*K32</f>
        <v>94402.16</v>
      </c>
      <c r="J32" s="47">
        <v>108562.5</v>
      </c>
      <c r="K32" s="54">
        <f>(J32/1.15)-0.01</f>
        <v>94402.16</v>
      </c>
      <c r="L32" s="54"/>
      <c r="M32" s="53"/>
    </row>
    <row r="33" spans="1:13" x14ac:dyDescent="0.3">
      <c r="A33" s="9" t="s">
        <v>58</v>
      </c>
      <c r="B33" s="10" t="s">
        <v>8</v>
      </c>
      <c r="C33" s="10" t="s">
        <v>9</v>
      </c>
      <c r="D33" s="11" t="s">
        <v>64</v>
      </c>
      <c r="E33" s="34">
        <v>1</v>
      </c>
      <c r="F33" s="59"/>
      <c r="G33" s="35">
        <f t="shared" ref="G33:G37" si="3">E33*F33</f>
        <v>0</v>
      </c>
      <c r="H33" s="35">
        <f t="shared" ref="H33:H37" si="4">I33/E33</f>
        <v>15869.57</v>
      </c>
      <c r="I33" s="35">
        <f t="shared" ref="I33:I37" si="5">E33*K33</f>
        <v>15869.57</v>
      </c>
      <c r="J33" s="47">
        <v>18250</v>
      </c>
      <c r="K33" s="54">
        <f t="shared" si="1"/>
        <v>15869.56522</v>
      </c>
      <c r="L33" s="54"/>
      <c r="M33" s="53"/>
    </row>
    <row r="34" spans="1:13" x14ac:dyDescent="0.3">
      <c r="A34" s="9" t="s">
        <v>59</v>
      </c>
      <c r="B34" s="10" t="s">
        <v>8</v>
      </c>
      <c r="C34" s="10" t="s">
        <v>9</v>
      </c>
      <c r="D34" s="11" t="s">
        <v>65</v>
      </c>
      <c r="E34" s="34">
        <v>1</v>
      </c>
      <c r="F34" s="59"/>
      <c r="G34" s="35">
        <f t="shared" si="3"/>
        <v>0</v>
      </c>
      <c r="H34" s="35">
        <f t="shared" si="4"/>
        <v>15869.57</v>
      </c>
      <c r="I34" s="35">
        <f t="shared" si="5"/>
        <v>15869.57</v>
      </c>
      <c r="J34" s="47">
        <v>18250</v>
      </c>
      <c r="K34" s="54">
        <f t="shared" si="1"/>
        <v>15869.56522</v>
      </c>
      <c r="L34" s="54"/>
      <c r="M34" s="53"/>
    </row>
    <row r="35" spans="1:13" x14ac:dyDescent="0.3">
      <c r="A35" s="9" t="s">
        <v>60</v>
      </c>
      <c r="B35" s="10" t="s">
        <v>8</v>
      </c>
      <c r="C35" s="10" t="s">
        <v>9</v>
      </c>
      <c r="D35" s="11" t="s">
        <v>66</v>
      </c>
      <c r="E35" s="34">
        <v>1</v>
      </c>
      <c r="F35" s="59"/>
      <c r="G35" s="35">
        <f t="shared" si="3"/>
        <v>0</v>
      </c>
      <c r="H35" s="35">
        <f t="shared" si="4"/>
        <v>4239.13</v>
      </c>
      <c r="I35" s="35">
        <f t="shared" si="5"/>
        <v>4239.13</v>
      </c>
      <c r="J35" s="47">
        <v>4875</v>
      </c>
      <c r="K35" s="54">
        <f t="shared" si="1"/>
        <v>4239.1304300000002</v>
      </c>
      <c r="L35" s="54"/>
      <c r="M35" s="53"/>
    </row>
    <row r="36" spans="1:13" x14ac:dyDescent="0.3">
      <c r="A36" s="9" t="s">
        <v>61</v>
      </c>
      <c r="B36" s="10" t="s">
        <v>8</v>
      </c>
      <c r="C36" s="10" t="s">
        <v>9</v>
      </c>
      <c r="D36" s="11" t="s">
        <v>67</v>
      </c>
      <c r="E36" s="34">
        <v>1</v>
      </c>
      <c r="F36" s="59"/>
      <c r="G36" s="35">
        <f t="shared" si="3"/>
        <v>0</v>
      </c>
      <c r="H36" s="35">
        <f t="shared" si="4"/>
        <v>15869.57</v>
      </c>
      <c r="I36" s="35">
        <f t="shared" si="5"/>
        <v>15869.57</v>
      </c>
      <c r="J36" s="47">
        <v>18250</v>
      </c>
      <c r="K36" s="54">
        <f t="shared" si="1"/>
        <v>15869.56522</v>
      </c>
      <c r="L36" s="54"/>
      <c r="M36" s="53"/>
    </row>
    <row r="37" spans="1:13" x14ac:dyDescent="0.3">
      <c r="A37" s="9" t="s">
        <v>62</v>
      </c>
      <c r="B37" s="10" t="s">
        <v>8</v>
      </c>
      <c r="C37" s="10" t="s">
        <v>9</v>
      </c>
      <c r="D37" s="11" t="s">
        <v>68</v>
      </c>
      <c r="E37" s="34">
        <v>1</v>
      </c>
      <c r="F37" s="59"/>
      <c r="G37" s="35">
        <f t="shared" si="3"/>
        <v>0</v>
      </c>
      <c r="H37" s="35">
        <f t="shared" si="4"/>
        <v>181654.89</v>
      </c>
      <c r="I37" s="35">
        <f t="shared" si="5"/>
        <v>181654.89</v>
      </c>
      <c r="J37" s="47">
        <v>208903.12</v>
      </c>
      <c r="K37" s="54">
        <f t="shared" si="1"/>
        <v>181654.88696</v>
      </c>
      <c r="L37" s="54"/>
      <c r="M37" s="53"/>
    </row>
    <row r="38" spans="1:13" x14ac:dyDescent="0.3">
      <c r="A38" s="4"/>
      <c r="B38" s="4"/>
      <c r="C38" s="4"/>
      <c r="D38" s="36" t="s">
        <v>11</v>
      </c>
      <c r="E38" s="2"/>
      <c r="F38" s="37"/>
      <c r="G38" s="24">
        <f>SUM(G32:G37)</f>
        <v>0</v>
      </c>
      <c r="H38" s="24"/>
      <c r="I38" s="24">
        <f>SUM(I32:I37)</f>
        <v>327904.89</v>
      </c>
      <c r="J38" s="56">
        <v>377090.63</v>
      </c>
      <c r="K38" s="54">
        <f t="shared" si="1"/>
        <v>327904.90000000002</v>
      </c>
      <c r="L38" s="54">
        <f t="shared" si="2"/>
        <v>-0.01</v>
      </c>
      <c r="M38" s="53"/>
    </row>
    <row r="39" spans="1:13" x14ac:dyDescent="0.3">
      <c r="A39" s="4"/>
      <c r="B39" s="4"/>
      <c r="C39" s="4"/>
      <c r="D39" s="36"/>
      <c r="E39" s="2"/>
      <c r="F39" s="37"/>
      <c r="G39" s="24"/>
      <c r="H39" s="24"/>
      <c r="I39" s="24"/>
      <c r="J39" s="46"/>
      <c r="K39" s="48"/>
      <c r="L39" s="54"/>
      <c r="M39" s="53"/>
    </row>
    <row r="40" spans="1:13" x14ac:dyDescent="0.3">
      <c r="A40" s="7" t="s">
        <v>69</v>
      </c>
      <c r="B40" s="7" t="s">
        <v>6</v>
      </c>
      <c r="C40" s="7" t="s">
        <v>7</v>
      </c>
      <c r="D40" s="8" t="s">
        <v>25</v>
      </c>
      <c r="E40" s="31"/>
      <c r="F40" s="32"/>
      <c r="G40" s="33">
        <f>G50</f>
        <v>0</v>
      </c>
      <c r="H40" s="33"/>
      <c r="I40" s="33">
        <f>I50</f>
        <v>84453.59</v>
      </c>
      <c r="J40" s="46"/>
      <c r="K40" s="48"/>
      <c r="L40" s="54"/>
      <c r="M40" s="53"/>
    </row>
    <row r="41" spans="1:13" x14ac:dyDescent="0.3">
      <c r="A41" s="9" t="s">
        <v>70</v>
      </c>
      <c r="B41" s="10" t="s">
        <v>8</v>
      </c>
      <c r="C41" s="10" t="s">
        <v>9</v>
      </c>
      <c r="D41" s="11" t="s">
        <v>79</v>
      </c>
      <c r="E41" s="34">
        <v>1</v>
      </c>
      <c r="F41" s="59"/>
      <c r="G41" s="35">
        <f>E41*F41</f>
        <v>0</v>
      </c>
      <c r="H41" s="35">
        <f>I41/E41</f>
        <v>6141.53</v>
      </c>
      <c r="I41" s="35">
        <f>E41*K41</f>
        <v>6141.53</v>
      </c>
      <c r="J41" s="47">
        <v>7062.76</v>
      </c>
      <c r="K41" s="54">
        <f t="shared" si="1"/>
        <v>6141.5304299999998</v>
      </c>
      <c r="L41" s="54"/>
      <c r="M41" s="53"/>
    </row>
    <row r="42" spans="1:13" x14ac:dyDescent="0.3">
      <c r="A42" s="9" t="s">
        <v>71</v>
      </c>
      <c r="B42" s="10" t="s">
        <v>8</v>
      </c>
      <c r="C42" s="10"/>
      <c r="D42" s="11" t="s">
        <v>80</v>
      </c>
      <c r="E42" s="34">
        <v>1</v>
      </c>
      <c r="F42" s="59"/>
      <c r="G42" s="35">
        <f t="shared" ref="G42:G49" si="6">E42*F42</f>
        <v>0</v>
      </c>
      <c r="H42" s="35">
        <f t="shared" ref="H42:H49" si="7">I42/E42</f>
        <v>18424.61</v>
      </c>
      <c r="I42" s="35">
        <f t="shared" ref="I42:I49" si="8">E42*K42</f>
        <v>18424.61</v>
      </c>
      <c r="J42" s="47">
        <v>21188.3</v>
      </c>
      <c r="K42" s="54">
        <f t="shared" si="1"/>
        <v>18424.608700000001</v>
      </c>
      <c r="L42" s="54"/>
      <c r="M42" s="53"/>
    </row>
    <row r="43" spans="1:13" x14ac:dyDescent="0.3">
      <c r="A43" s="9" t="s">
        <v>72</v>
      </c>
      <c r="B43" s="10" t="s">
        <v>8</v>
      </c>
      <c r="C43" s="10"/>
      <c r="D43" s="11" t="s">
        <v>81</v>
      </c>
      <c r="E43" s="34">
        <v>1</v>
      </c>
      <c r="F43" s="59"/>
      <c r="G43" s="35">
        <f t="shared" si="6"/>
        <v>0</v>
      </c>
      <c r="H43" s="35">
        <f t="shared" si="7"/>
        <v>18424.61</v>
      </c>
      <c r="I43" s="35">
        <f t="shared" si="8"/>
        <v>18424.61</v>
      </c>
      <c r="J43" s="47">
        <v>21188.3</v>
      </c>
      <c r="K43" s="54">
        <f t="shared" si="1"/>
        <v>18424.608700000001</v>
      </c>
      <c r="L43" s="54"/>
      <c r="M43" s="53"/>
    </row>
    <row r="44" spans="1:13" x14ac:dyDescent="0.3">
      <c r="A44" s="9" t="s">
        <v>73</v>
      </c>
      <c r="B44" s="10" t="s">
        <v>8</v>
      </c>
      <c r="C44" s="10"/>
      <c r="D44" s="11" t="s">
        <v>82</v>
      </c>
      <c r="E44" s="34">
        <v>1</v>
      </c>
      <c r="F44" s="59"/>
      <c r="G44" s="35">
        <f t="shared" si="6"/>
        <v>0</v>
      </c>
      <c r="H44" s="35">
        <f t="shared" si="7"/>
        <v>12283.07</v>
      </c>
      <c r="I44" s="35">
        <f t="shared" si="8"/>
        <v>12283.07</v>
      </c>
      <c r="J44" s="47">
        <v>14125.53</v>
      </c>
      <c r="K44" s="54">
        <f t="shared" si="1"/>
        <v>12283.06957</v>
      </c>
      <c r="L44" s="54"/>
      <c r="M44" s="53"/>
    </row>
    <row r="45" spans="1:13" x14ac:dyDescent="0.3">
      <c r="A45" s="9" t="s">
        <v>74</v>
      </c>
      <c r="B45" s="10" t="s">
        <v>8</v>
      </c>
      <c r="C45" s="10"/>
      <c r="D45" s="11" t="s">
        <v>83</v>
      </c>
      <c r="E45" s="34">
        <v>1</v>
      </c>
      <c r="F45" s="59"/>
      <c r="G45" s="35">
        <f t="shared" si="6"/>
        <v>0</v>
      </c>
      <c r="H45" s="35">
        <f t="shared" si="7"/>
        <v>12283.07</v>
      </c>
      <c r="I45" s="35">
        <f t="shared" si="8"/>
        <v>12283.07</v>
      </c>
      <c r="J45" s="47">
        <v>14125.53</v>
      </c>
      <c r="K45" s="54">
        <f t="shared" si="1"/>
        <v>12283.06957</v>
      </c>
      <c r="L45" s="54"/>
      <c r="M45" s="53"/>
    </row>
    <row r="46" spans="1:13" x14ac:dyDescent="0.3">
      <c r="A46" s="9" t="s">
        <v>75</v>
      </c>
      <c r="B46" s="10" t="s">
        <v>8</v>
      </c>
      <c r="C46" s="10"/>
      <c r="D46" s="11" t="s">
        <v>84</v>
      </c>
      <c r="E46" s="34">
        <v>1</v>
      </c>
      <c r="F46" s="59"/>
      <c r="G46" s="35">
        <f t="shared" si="6"/>
        <v>0</v>
      </c>
      <c r="H46" s="35">
        <f t="shared" si="7"/>
        <v>1256.7</v>
      </c>
      <c r="I46" s="35">
        <f t="shared" si="8"/>
        <v>1256.7</v>
      </c>
      <c r="J46" s="47">
        <v>1445.21</v>
      </c>
      <c r="K46" s="54">
        <f t="shared" si="1"/>
        <v>1256.70435</v>
      </c>
      <c r="L46" s="54"/>
      <c r="M46" s="53"/>
    </row>
    <row r="47" spans="1:13" x14ac:dyDescent="0.3">
      <c r="A47" s="9" t="s">
        <v>76</v>
      </c>
      <c r="B47" s="10" t="s">
        <v>8</v>
      </c>
      <c r="C47" s="10"/>
      <c r="D47" s="11" t="s">
        <v>85</v>
      </c>
      <c r="E47" s="34">
        <v>1</v>
      </c>
      <c r="F47" s="59"/>
      <c r="G47" s="35">
        <f t="shared" si="6"/>
        <v>0</v>
      </c>
      <c r="H47" s="35">
        <f t="shared" si="7"/>
        <v>1257.32</v>
      </c>
      <c r="I47" s="35">
        <f t="shared" si="8"/>
        <v>1257.32</v>
      </c>
      <c r="J47" s="47">
        <v>1445.92</v>
      </c>
      <c r="K47" s="54">
        <f t="shared" si="1"/>
        <v>1257.3217400000001</v>
      </c>
      <c r="L47" s="54"/>
      <c r="M47" s="53"/>
    </row>
    <row r="48" spans="1:13" x14ac:dyDescent="0.3">
      <c r="A48" s="9" t="s">
        <v>77</v>
      </c>
      <c r="B48" s="10" t="s">
        <v>8</v>
      </c>
      <c r="C48" s="10"/>
      <c r="D48" s="11" t="s">
        <v>86</v>
      </c>
      <c r="E48" s="34">
        <v>1</v>
      </c>
      <c r="F48" s="59"/>
      <c r="G48" s="35">
        <f t="shared" si="6"/>
        <v>0</v>
      </c>
      <c r="H48" s="35">
        <f t="shared" si="7"/>
        <v>3070.77</v>
      </c>
      <c r="I48" s="35">
        <f t="shared" si="8"/>
        <v>3070.77</v>
      </c>
      <c r="J48" s="47">
        <v>3531.38</v>
      </c>
      <c r="K48" s="54">
        <f t="shared" si="1"/>
        <v>3070.7652200000002</v>
      </c>
      <c r="L48" s="54"/>
      <c r="M48" s="53"/>
    </row>
    <row r="49" spans="1:13" x14ac:dyDescent="0.3">
      <c r="A49" s="9" t="s">
        <v>78</v>
      </c>
      <c r="B49" s="10" t="s">
        <v>8</v>
      </c>
      <c r="C49" s="10"/>
      <c r="D49" s="11" t="s">
        <v>87</v>
      </c>
      <c r="E49" s="34">
        <v>1</v>
      </c>
      <c r="F49" s="59"/>
      <c r="G49" s="35">
        <f t="shared" si="6"/>
        <v>0</v>
      </c>
      <c r="H49" s="35">
        <f t="shared" si="7"/>
        <v>11311.91</v>
      </c>
      <c r="I49" s="35">
        <f t="shared" si="8"/>
        <v>11311.91</v>
      </c>
      <c r="J49" s="47">
        <v>13008.7</v>
      </c>
      <c r="K49" s="54">
        <f t="shared" si="1"/>
        <v>11311.913039999999</v>
      </c>
      <c r="L49" s="54"/>
      <c r="M49" s="53"/>
    </row>
    <row r="50" spans="1:13" x14ac:dyDescent="0.3">
      <c r="A50" s="4"/>
      <c r="B50" s="4"/>
      <c r="C50" s="4"/>
      <c r="D50" s="36" t="s">
        <v>26</v>
      </c>
      <c r="E50" s="2"/>
      <c r="F50" s="37"/>
      <c r="G50" s="24">
        <f>SUM(G41:G49)</f>
        <v>0</v>
      </c>
      <c r="H50" s="24"/>
      <c r="I50" s="24">
        <f>SUM(I41:I49)</f>
        <v>84453.59</v>
      </c>
      <c r="J50" s="56">
        <v>97121.63</v>
      </c>
      <c r="K50" s="54">
        <f t="shared" si="1"/>
        <v>84453.59</v>
      </c>
      <c r="L50" s="54">
        <f t="shared" si="2"/>
        <v>0</v>
      </c>
      <c r="M50" s="53"/>
    </row>
    <row r="51" spans="1:13" x14ac:dyDescent="0.3">
      <c r="A51" s="4"/>
      <c r="B51" s="4"/>
      <c r="C51" s="4"/>
      <c r="D51" s="36"/>
      <c r="E51" s="2"/>
      <c r="F51" s="37"/>
      <c r="G51" s="24"/>
      <c r="H51" s="24"/>
      <c r="I51" s="24"/>
      <c r="J51" s="46"/>
      <c r="K51" s="46"/>
      <c r="L51" s="46"/>
      <c r="M51" s="53"/>
    </row>
    <row r="52" spans="1:13" x14ac:dyDescent="0.3">
      <c r="A52" s="4"/>
      <c r="B52" s="4"/>
      <c r="C52" s="4"/>
      <c r="D52" s="36" t="s">
        <v>27</v>
      </c>
      <c r="E52" s="2"/>
      <c r="F52" s="37"/>
      <c r="G52" s="24">
        <f>SUM(G4,G9,G14,G19,G23,G27,G31,G40)</f>
        <v>0</v>
      </c>
      <c r="H52" s="24"/>
      <c r="I52" s="24">
        <f>SUM(I4,I9,I14,I19,I23,I27,I31,I40)</f>
        <v>2133706.92</v>
      </c>
      <c r="J52" s="46"/>
      <c r="K52" s="48"/>
      <c r="L52" s="57">
        <v>2133706.92</v>
      </c>
      <c r="M52" s="55">
        <f>I52-L52</f>
        <v>0</v>
      </c>
    </row>
    <row r="53" spans="1:13" x14ac:dyDescent="0.3">
      <c r="A53" s="13"/>
      <c r="B53" s="13"/>
      <c r="C53" s="13"/>
      <c r="D53" s="14"/>
      <c r="E53" s="13"/>
      <c r="F53" s="13"/>
      <c r="G53" s="38"/>
      <c r="H53" s="38"/>
      <c r="I53" s="38"/>
      <c r="J53" s="46"/>
      <c r="K53" s="46"/>
      <c r="L53" s="46"/>
      <c r="M53" s="53"/>
    </row>
    <row r="54" spans="1:13" x14ac:dyDescent="0.3">
      <c r="A54" s="2"/>
      <c r="B54" s="2"/>
      <c r="C54" s="2"/>
      <c r="D54" s="2"/>
      <c r="E54" s="2"/>
      <c r="F54" s="2"/>
      <c r="G54" s="39"/>
      <c r="H54" s="39"/>
      <c r="I54" s="39"/>
      <c r="J54" s="46"/>
      <c r="K54" s="46"/>
      <c r="L54" s="46"/>
      <c r="M54" s="53"/>
    </row>
    <row r="55" spans="1:13" x14ac:dyDescent="0.3">
      <c r="A55" s="4"/>
      <c r="B55" s="4"/>
      <c r="C55" s="4"/>
      <c r="D55" s="12" t="s">
        <v>19</v>
      </c>
      <c r="E55" s="19"/>
      <c r="F55" s="45">
        <f>G52</f>
        <v>0</v>
      </c>
      <c r="G55" s="28">
        <f>ROUND(F55,2)</f>
        <v>0</v>
      </c>
      <c r="H55" s="28"/>
      <c r="I55" s="30">
        <f>I52</f>
        <v>2133706.92</v>
      </c>
      <c r="J55" s="46"/>
      <c r="K55" s="46"/>
      <c r="L55" s="46"/>
      <c r="M55" s="53"/>
    </row>
    <row r="56" spans="1:13" x14ac:dyDescent="0.3">
      <c r="A56" s="15"/>
      <c r="B56" s="15"/>
      <c r="C56" s="15"/>
      <c r="D56" s="16"/>
      <c r="E56" s="20"/>
      <c r="F56" s="26"/>
      <c r="G56" s="29"/>
      <c r="H56" s="29"/>
      <c r="I56" s="40"/>
      <c r="J56" s="50"/>
      <c r="K56" s="46"/>
      <c r="L56" s="46"/>
      <c r="M56" s="53"/>
    </row>
    <row r="57" spans="1:13" x14ac:dyDescent="0.3">
      <c r="A57" s="2"/>
      <c r="B57" s="2"/>
      <c r="C57" s="2"/>
      <c r="D57" s="1" t="s">
        <v>14</v>
      </c>
      <c r="E57" s="2"/>
      <c r="F57" s="18"/>
      <c r="G57" s="28">
        <f>G55*F57</f>
        <v>0</v>
      </c>
      <c r="H57" s="28"/>
      <c r="I57" s="30">
        <f>(I55*9)/100</f>
        <v>192033.62</v>
      </c>
      <c r="J57" s="46"/>
      <c r="K57" s="46"/>
      <c r="L57" s="46"/>
      <c r="M57" s="53"/>
    </row>
    <row r="58" spans="1:13" x14ac:dyDescent="0.3">
      <c r="A58" s="2"/>
      <c r="B58" s="2"/>
      <c r="C58" s="2"/>
      <c r="D58" s="1"/>
      <c r="E58" s="2"/>
      <c r="F58" s="27"/>
      <c r="G58" s="30"/>
      <c r="H58" s="30"/>
      <c r="I58" s="30"/>
      <c r="J58" s="46"/>
      <c r="K58" s="46"/>
      <c r="L58" s="46"/>
      <c r="M58" s="53"/>
    </row>
    <row r="59" spans="1:13" x14ac:dyDescent="0.3">
      <c r="A59" s="2"/>
      <c r="B59" s="2"/>
      <c r="C59" s="2"/>
      <c r="D59" s="1" t="s">
        <v>15</v>
      </c>
      <c r="E59" s="2"/>
      <c r="F59" s="18"/>
      <c r="G59" s="28">
        <f>G55*F59</f>
        <v>0</v>
      </c>
      <c r="H59" s="28"/>
      <c r="I59" s="30">
        <f>(I55*6)/100</f>
        <v>128022.42</v>
      </c>
      <c r="J59" s="46"/>
      <c r="K59" s="46"/>
      <c r="L59" s="46"/>
      <c r="M59" s="53"/>
    </row>
    <row r="60" spans="1:13" x14ac:dyDescent="0.3">
      <c r="A60" s="2"/>
      <c r="B60" s="2"/>
      <c r="C60" s="2"/>
      <c r="D60" s="1"/>
      <c r="E60" s="2"/>
      <c r="F60" s="27"/>
      <c r="G60" s="30"/>
      <c r="H60" s="30"/>
      <c r="I60" s="30"/>
      <c r="J60" s="46"/>
      <c r="K60" s="46"/>
      <c r="L60" s="46"/>
      <c r="M60" s="53"/>
    </row>
    <row r="61" spans="1:13" x14ac:dyDescent="0.3">
      <c r="A61" s="2"/>
      <c r="B61" s="2"/>
      <c r="C61" s="2"/>
      <c r="D61" s="1" t="s">
        <v>21</v>
      </c>
      <c r="E61" s="2"/>
      <c r="F61" s="27"/>
      <c r="G61" s="28">
        <f>G55+G57+G59</f>
        <v>0</v>
      </c>
      <c r="H61" s="28"/>
      <c r="I61" s="28">
        <f>SUM(I55,I57,I59)</f>
        <v>2453762.96</v>
      </c>
      <c r="J61" s="46"/>
      <c r="K61" s="46"/>
      <c r="L61" s="57">
        <v>2453762.96</v>
      </c>
      <c r="M61" s="53"/>
    </row>
    <row r="62" spans="1:13" x14ac:dyDescent="0.3">
      <c r="A62" s="2"/>
      <c r="B62" s="2"/>
      <c r="C62" s="2"/>
      <c r="D62" s="1"/>
      <c r="E62" s="2"/>
      <c r="F62" s="21"/>
      <c r="G62" s="30"/>
      <c r="H62" s="30"/>
      <c r="I62" s="30"/>
      <c r="J62" s="46"/>
      <c r="K62" s="46"/>
      <c r="L62" s="46"/>
      <c r="M62" s="53"/>
    </row>
    <row r="63" spans="1:13" x14ac:dyDescent="0.3">
      <c r="A63" s="2"/>
      <c r="B63" s="2"/>
      <c r="C63" s="2"/>
      <c r="D63" s="1" t="s">
        <v>16</v>
      </c>
      <c r="E63" s="2"/>
      <c r="F63" s="22">
        <v>0.21</v>
      </c>
      <c r="G63" s="28">
        <f>G61*0.21</f>
        <v>0</v>
      </c>
      <c r="H63" s="28"/>
      <c r="I63" s="30">
        <f>(I61*21)/100</f>
        <v>515290.22</v>
      </c>
      <c r="J63" s="46"/>
      <c r="K63" s="46"/>
      <c r="L63" s="46"/>
      <c r="M63" s="53"/>
    </row>
    <row r="64" spans="1:13" x14ac:dyDescent="0.3">
      <c r="A64" s="2"/>
      <c r="B64" s="2"/>
      <c r="C64" s="2"/>
      <c r="D64" s="2"/>
      <c r="E64" s="2"/>
      <c r="F64" s="2"/>
      <c r="G64" s="23"/>
      <c r="H64" s="23"/>
      <c r="I64" s="39"/>
      <c r="J64" s="46"/>
      <c r="K64" s="46"/>
      <c r="L64" s="46"/>
      <c r="M64" s="53"/>
    </row>
    <row r="65" spans="1:13" x14ac:dyDescent="0.3">
      <c r="A65" s="2"/>
      <c r="B65" s="2"/>
      <c r="C65" s="2"/>
      <c r="D65" s="1" t="s">
        <v>20</v>
      </c>
      <c r="E65" s="2"/>
      <c r="F65" s="2"/>
      <c r="G65" s="24">
        <f>G61+G63</f>
        <v>0</v>
      </c>
      <c r="H65" s="24"/>
      <c r="I65" s="24">
        <f>SUM(I61,I63)</f>
        <v>2969053.18</v>
      </c>
      <c r="J65" s="46"/>
      <c r="K65" s="46"/>
      <c r="L65" s="46"/>
      <c r="M65" s="53"/>
    </row>
    <row r="66" spans="1:13" x14ac:dyDescent="0.3">
      <c r="A66" s="2"/>
      <c r="B66" s="2"/>
      <c r="C66" s="2"/>
      <c r="D66" s="17"/>
      <c r="E66" s="17" t="s">
        <v>7</v>
      </c>
      <c r="F66" s="2"/>
      <c r="G66" s="39"/>
      <c r="H66" s="39"/>
      <c r="I66" s="39"/>
      <c r="J66" s="46"/>
      <c r="K66" s="46"/>
      <c r="L66" s="2"/>
    </row>
    <row r="67" spans="1:13" x14ac:dyDescent="0.3">
      <c r="A67" s="2"/>
      <c r="B67" s="2"/>
      <c r="C67" s="2"/>
      <c r="D67" s="2"/>
      <c r="E67" s="17"/>
      <c r="F67" s="2"/>
      <c r="G67" s="39"/>
      <c r="H67" s="39"/>
      <c r="I67" s="39"/>
      <c r="J67" s="46"/>
      <c r="K67" s="46"/>
      <c r="L67" s="2"/>
    </row>
    <row r="68" spans="1:13" x14ac:dyDescent="0.3">
      <c r="A68" s="62" t="s">
        <v>17</v>
      </c>
      <c r="B68" s="62"/>
      <c r="C68" s="62"/>
      <c r="D68" s="62"/>
      <c r="E68" s="62"/>
      <c r="F68" s="62"/>
      <c r="G68" s="62"/>
      <c r="H68" s="62"/>
      <c r="I68" s="62"/>
      <c r="J68" s="62"/>
      <c r="K68" s="62"/>
      <c r="L68" s="62"/>
    </row>
    <row r="69" spans="1:13" x14ac:dyDescent="0.3">
      <c r="A69" s="41"/>
      <c r="B69" s="41"/>
      <c r="C69" s="41"/>
      <c r="D69" s="41"/>
      <c r="E69" s="41"/>
      <c r="F69" s="41"/>
      <c r="G69" s="41"/>
      <c r="H69" s="51"/>
      <c r="I69" s="41"/>
      <c r="J69" s="41"/>
      <c r="K69" s="41"/>
      <c r="L69" s="41"/>
    </row>
    <row r="70" spans="1:13" x14ac:dyDescent="0.3">
      <c r="A70" s="62" t="s">
        <v>93</v>
      </c>
      <c r="B70" s="62"/>
      <c r="C70" s="62"/>
      <c r="D70" s="62"/>
      <c r="E70" s="62"/>
      <c r="F70" s="62"/>
      <c r="G70" s="62"/>
      <c r="H70" s="62"/>
      <c r="I70" s="62"/>
      <c r="J70" s="62"/>
      <c r="K70" s="62"/>
      <c r="L70" s="62"/>
    </row>
    <row r="71" spans="1:13" x14ac:dyDescent="0.3">
      <c r="A71" s="2"/>
      <c r="B71" s="2"/>
      <c r="C71" s="2"/>
      <c r="D71" s="2"/>
      <c r="E71" s="2"/>
      <c r="F71" s="2"/>
      <c r="G71" s="2"/>
      <c r="H71" s="2"/>
      <c r="I71" s="2"/>
      <c r="J71" s="2"/>
      <c r="K71" s="2"/>
      <c r="L71" s="2"/>
    </row>
    <row r="72" spans="1:13" x14ac:dyDescent="0.3">
      <c r="A72" s="62" t="s">
        <v>18</v>
      </c>
      <c r="B72" s="62"/>
      <c r="C72" s="62"/>
      <c r="D72" s="62"/>
      <c r="E72" s="62"/>
      <c r="F72" s="62"/>
      <c r="G72" s="62"/>
      <c r="H72" s="62"/>
      <c r="I72" s="62"/>
      <c r="J72" s="62"/>
      <c r="K72" s="62"/>
      <c r="L72" s="62"/>
    </row>
    <row r="73" spans="1:13" x14ac:dyDescent="0.3">
      <c r="A73" s="2"/>
      <c r="B73" s="2"/>
      <c r="C73" s="2"/>
      <c r="D73" s="2"/>
      <c r="E73" s="2"/>
      <c r="F73" s="2"/>
      <c r="G73" s="2"/>
      <c r="H73" s="2"/>
      <c r="I73" s="2"/>
      <c r="J73" s="2"/>
      <c r="K73" s="2"/>
      <c r="L73" s="2"/>
    </row>
    <row r="74" spans="1:13" x14ac:dyDescent="0.3">
      <c r="A74" s="63" t="s">
        <v>91</v>
      </c>
      <c r="B74" s="63"/>
      <c r="C74" s="63"/>
      <c r="D74" s="63"/>
      <c r="E74" s="63"/>
      <c r="F74" s="63"/>
      <c r="G74" s="63"/>
      <c r="H74" s="63"/>
      <c r="I74" s="63"/>
      <c r="J74" s="63"/>
      <c r="K74" s="63"/>
      <c r="L74" s="63"/>
    </row>
    <row r="75" spans="1:13" x14ac:dyDescent="0.3">
      <c r="A75" s="2"/>
      <c r="B75" s="2"/>
      <c r="C75" s="2"/>
      <c r="D75" s="2"/>
      <c r="E75" s="2"/>
      <c r="F75" s="2"/>
      <c r="G75" s="2"/>
      <c r="H75" s="2"/>
      <c r="I75" s="2"/>
      <c r="J75" s="2"/>
      <c r="K75" s="2"/>
      <c r="L75" s="2"/>
    </row>
    <row r="76" spans="1:13" ht="52.5" customHeight="1" x14ac:dyDescent="0.3">
      <c r="A76" s="61" t="s">
        <v>22</v>
      </c>
      <c r="B76" s="61"/>
      <c r="C76" s="61"/>
      <c r="D76" s="61"/>
      <c r="E76" s="61"/>
      <c r="F76" s="61"/>
      <c r="G76" s="61"/>
      <c r="H76" s="61"/>
      <c r="I76" s="61"/>
      <c r="J76" s="61"/>
      <c r="K76" s="61"/>
      <c r="L76" s="61"/>
    </row>
    <row r="77" spans="1:13" x14ac:dyDescent="0.3">
      <c r="A77" s="2"/>
      <c r="B77" s="2"/>
      <c r="C77" s="2"/>
      <c r="D77" s="2"/>
      <c r="E77" s="2"/>
      <c r="F77" s="2"/>
      <c r="G77" s="2"/>
      <c r="H77" s="2"/>
      <c r="I77" s="2"/>
      <c r="J77" s="2"/>
      <c r="K77" s="2"/>
      <c r="L77" s="2"/>
    </row>
    <row r="78" spans="1:13" x14ac:dyDescent="0.3">
      <c r="A78" s="61" t="s">
        <v>92</v>
      </c>
      <c r="B78" s="61"/>
      <c r="C78" s="61"/>
      <c r="D78" s="61"/>
      <c r="E78" s="61"/>
      <c r="F78" s="61"/>
      <c r="G78" s="61"/>
      <c r="H78" s="61"/>
      <c r="I78" s="61"/>
      <c r="J78" s="61"/>
      <c r="K78" s="61"/>
      <c r="L78" s="61"/>
    </row>
  </sheetData>
  <sheetProtection algorithmName="SHA-512" hashValue="cQxqCmw+l8pw6YrwrU3PXpx6dyeENSD+nyGdukyU098+2lWoLEe45Tus6R7Gr9d0fmH8+oATEuefhykxKcFjxw==" saltValue="QjDuCihKqjJyyGIG6xo8eA==" spinCount="100000" sheet="1" selectLockedCells="1"/>
  <mergeCells count="7">
    <mergeCell ref="A1:I1"/>
    <mergeCell ref="A78:L78"/>
    <mergeCell ref="A68:L68"/>
    <mergeCell ref="A70:L70"/>
    <mergeCell ref="A72:L72"/>
    <mergeCell ref="A74:L74"/>
    <mergeCell ref="A76:L76"/>
  </mergeCells>
  <dataValidations disablePrompts="1" count="1">
    <dataValidation type="list" allowBlank="1" showInputMessage="1" showErrorMessage="1" sqref="B4:B53" xr:uid="{85CC82B0-C25C-4072-BDC4-FA12C0AA8BD4}">
      <formula1>"Capítulo,Partida,Mano de obra,Maquinaria,Material,Otros,Tarea,"</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 Red Global SAN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Galindo García, Fernando</dc:creator>
  <cp:lastModifiedBy>Ruiz de Agustín, Alberto</cp:lastModifiedBy>
  <dcterms:created xsi:type="dcterms:W3CDTF">2020-10-28T09:41:18Z</dcterms:created>
  <dcterms:modified xsi:type="dcterms:W3CDTF">2022-02-24T07:11:42Z</dcterms:modified>
</cp:coreProperties>
</file>