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ontratos de Limpieza\CONTRATO LIMPIEZA 2021-2025\SUBIDO A CONTRATACIÓN V8\TABLA DE OPERACIONES V8\"/>
    </mc:Choice>
  </mc:AlternateContent>
  <xr:revisionPtr revIDLastSave="0" documentId="13_ncr:1_{FDF5EDF2-327D-497A-BBFB-9C3352C78F8C}" xr6:coauthVersionLast="36" xr6:coauthVersionMax="36" xr10:uidLastSave="{00000000-0000-0000-0000-000000000000}"/>
  <bookViews>
    <workbookView xWindow="0" yWindow="0" windowWidth="23040" windowHeight="9192" xr2:uid="{00000000-000D-0000-FFFF-FFFF00000000}"/>
  </bookViews>
  <sheets>
    <sheet name="PROPUESTA A" sheetId="2" r:id="rId1"/>
    <sheet name="PLANIF_MENSUAL_INVIERNO" sheetId="3" state="hidden" r:id="rId2"/>
  </sheets>
  <definedNames>
    <definedName name="_xlnm.Print_Area" localSheetId="0">'PROPUESTA A'!$B$2:$F$37</definedName>
  </definedNames>
  <calcPr calcId="191029"/>
</workbook>
</file>

<file path=xl/calcChain.xml><?xml version="1.0" encoding="utf-8"?>
<calcChain xmlns="http://schemas.openxmlformats.org/spreadsheetml/2006/main">
  <c r="L3" i="2" l="1"/>
  <c r="H3" i="2"/>
  <c r="D3" i="2"/>
  <c r="D8" i="2" l="1"/>
  <c r="O35" i="2" l="1"/>
  <c r="O26" i="2" l="1"/>
  <c r="K26" i="2"/>
  <c r="G26" i="2"/>
  <c r="O34" i="2" l="1"/>
  <c r="O33" i="2"/>
  <c r="K33" i="2"/>
  <c r="D10" i="2" l="1"/>
  <c r="H8" i="2" l="1"/>
  <c r="G33" i="2" l="1"/>
  <c r="O22" i="2" l="1"/>
  <c r="O23" i="2"/>
  <c r="K22" i="2"/>
  <c r="K23" i="2"/>
  <c r="G22" i="2"/>
  <c r="G23" i="2"/>
  <c r="G10" i="2"/>
  <c r="K10" i="2"/>
  <c r="O10" i="2"/>
  <c r="G35" i="2" l="1"/>
  <c r="O29" i="2" l="1"/>
  <c r="O30" i="2"/>
  <c r="O31" i="2"/>
  <c r="O37" i="2"/>
  <c r="O12" i="2"/>
  <c r="O20" i="2"/>
  <c r="O21" i="2"/>
  <c r="O15" i="2"/>
  <c r="O16" i="2"/>
  <c r="K37" i="2"/>
  <c r="K12" i="2"/>
  <c r="K15" i="2"/>
  <c r="K16" i="2"/>
  <c r="K20" i="2"/>
  <c r="K21" i="2"/>
  <c r="K29" i="2"/>
  <c r="K30" i="2"/>
  <c r="K31" i="2"/>
  <c r="G30" i="2"/>
  <c r="G31" i="2"/>
  <c r="G32" i="2"/>
  <c r="G37" i="2"/>
  <c r="G34" i="2"/>
  <c r="G29" i="2"/>
  <c r="G12" i="2"/>
  <c r="G13" i="2"/>
  <c r="G14" i="2"/>
  <c r="G15" i="2"/>
  <c r="G16" i="2"/>
  <c r="G17" i="2"/>
  <c r="G18" i="2"/>
  <c r="G19" i="2"/>
  <c r="G20" i="2"/>
  <c r="G21" i="2"/>
  <c r="G24" i="2"/>
  <c r="G36" i="2"/>
  <c r="O27" i="2" l="1"/>
  <c r="K27" i="2"/>
  <c r="G27" i="2"/>
  <c r="E33" i="3"/>
  <c r="D33" i="3"/>
  <c r="C32" i="3"/>
  <c r="G38" i="2" l="1"/>
  <c r="O8" i="2" l="1"/>
  <c r="K8" i="2"/>
  <c r="AC6" i="3"/>
  <c r="G8" i="2"/>
  <c r="S59" i="3"/>
  <c r="Q59" i="3"/>
  <c r="AI24" i="3" s="1"/>
  <c r="N59" i="3"/>
  <c r="K59" i="3"/>
  <c r="P58" i="3"/>
  <c r="AI23" i="3" s="1"/>
  <c r="J58" i="3"/>
  <c r="R57" i="3"/>
  <c r="R59" i="3" s="1"/>
  <c r="Q57" i="3"/>
  <c r="O57" i="3"/>
  <c r="L57" i="3"/>
  <c r="H57" i="3"/>
  <c r="AI12" i="3" s="1"/>
  <c r="R76" i="3" s="1"/>
  <c r="O56" i="3"/>
  <c r="U56" i="3" s="1"/>
  <c r="U55" i="3"/>
  <c r="M54" i="3"/>
  <c r="I54" i="3"/>
  <c r="AI11" i="3" s="1"/>
  <c r="F53" i="3"/>
  <c r="F59" i="3" s="1"/>
  <c r="E53" i="3"/>
  <c r="E59" i="3" s="1"/>
  <c r="AI6" i="3" s="1"/>
  <c r="D53" i="3"/>
  <c r="AI5" i="3" s="1"/>
  <c r="G52" i="3"/>
  <c r="G59" i="3" s="1"/>
  <c r="C52" i="3"/>
  <c r="U51" i="3"/>
  <c r="S49" i="3"/>
  <c r="AH26" i="3" s="1"/>
  <c r="N49" i="3"/>
  <c r="I49" i="3"/>
  <c r="G49" i="3"/>
  <c r="AH9" i="3" s="1"/>
  <c r="P48" i="3"/>
  <c r="P49" i="3" s="1"/>
  <c r="K48" i="3"/>
  <c r="K49" i="3" s="1"/>
  <c r="J48" i="3"/>
  <c r="AH13" i="3" s="1"/>
  <c r="R47" i="3"/>
  <c r="R49" i="3" s="1"/>
  <c r="Q47" i="3"/>
  <c r="Q49" i="3" s="1"/>
  <c r="AH24" i="3" s="1"/>
  <c r="O47" i="3"/>
  <c r="AH21" i="3" s="1"/>
  <c r="L47" i="3"/>
  <c r="L49" i="3" s="1"/>
  <c r="AH15" i="3" s="1"/>
  <c r="H47" i="3"/>
  <c r="AH12" i="3" s="1"/>
  <c r="Q76" i="3" s="1"/>
  <c r="O46" i="3"/>
  <c r="M45" i="3"/>
  <c r="U45" i="3" s="1"/>
  <c r="M44" i="3"/>
  <c r="H44" i="3"/>
  <c r="F43" i="3"/>
  <c r="F49" i="3" s="1"/>
  <c r="E43" i="3"/>
  <c r="E49" i="3" s="1"/>
  <c r="AH6" i="3" s="1"/>
  <c r="D43" i="3"/>
  <c r="G42" i="3"/>
  <c r="C42" i="3"/>
  <c r="U42" i="3" s="1"/>
  <c r="U41" i="3"/>
  <c r="I39" i="3"/>
  <c r="C39" i="3"/>
  <c r="P38" i="3"/>
  <c r="P39" i="3" s="1"/>
  <c r="O38" i="3"/>
  <c r="M38" i="3"/>
  <c r="K38" i="3"/>
  <c r="J38" i="3"/>
  <c r="J39" i="3" s="1"/>
  <c r="R37" i="3"/>
  <c r="Q37" i="3"/>
  <c r="Q39" i="3" s="1"/>
  <c r="L37" i="3"/>
  <c r="L39" i="3" s="1"/>
  <c r="H37" i="3"/>
  <c r="O36" i="3"/>
  <c r="U36" i="3" s="1"/>
  <c r="N35" i="3"/>
  <c r="N39" i="3" s="1"/>
  <c r="M34" i="3"/>
  <c r="M39" i="3" s="1"/>
  <c r="H34" i="3"/>
  <c r="H39" i="3" s="1"/>
  <c r="S33" i="3"/>
  <c r="S39" i="3" s="1"/>
  <c r="F33" i="3"/>
  <c r="F39" i="3" s="1"/>
  <c r="D39" i="3"/>
  <c r="G32" i="3"/>
  <c r="AC9" i="3" s="1"/>
  <c r="U31" i="3"/>
  <c r="AM28" i="3"/>
  <c r="AL28" i="3"/>
  <c r="AB28" i="3"/>
  <c r="AI27" i="3"/>
  <c r="AB80" i="3" s="1"/>
  <c r="AB81" i="3" s="1"/>
  <c r="AH27" i="3"/>
  <c r="AA80" i="3" s="1"/>
  <c r="AA81" i="3" s="1"/>
  <c r="AD27" i="3"/>
  <c r="Z80" i="3" s="1"/>
  <c r="AC27" i="3"/>
  <c r="AI26" i="3"/>
  <c r="AH25" i="3"/>
  <c r="AD25" i="3"/>
  <c r="AF25" i="3" s="1"/>
  <c r="AM25" i="3" s="1"/>
  <c r="AD24" i="3"/>
  <c r="AF24" i="3" s="1"/>
  <c r="AM24" i="3" s="1"/>
  <c r="AC24" i="3"/>
  <c r="AE24" i="3" s="1"/>
  <c r="AL24" i="3" s="1"/>
  <c r="AC23" i="3"/>
  <c r="AE23" i="3" s="1"/>
  <c r="AL23" i="3" s="1"/>
  <c r="AI22" i="3"/>
  <c r="W77" i="3" s="1"/>
  <c r="AH22" i="3"/>
  <c r="AD22" i="3"/>
  <c r="AC22" i="3"/>
  <c r="T77" i="3" s="1"/>
  <c r="N92" i="3" s="1"/>
  <c r="AI21" i="3"/>
  <c r="AD21" i="3"/>
  <c r="AC21" i="3"/>
  <c r="AE21" i="3" s="1"/>
  <c r="AL21" i="3" s="1"/>
  <c r="AD20" i="3"/>
  <c r="AG20" i="3" s="1"/>
  <c r="V75" i="3" s="1"/>
  <c r="AC20" i="3"/>
  <c r="AE20" i="3" s="1"/>
  <c r="AL20" i="3" s="1"/>
  <c r="AI19" i="3"/>
  <c r="AH19" i="3"/>
  <c r="AI18" i="3"/>
  <c r="R74" i="3" s="1"/>
  <c r="AH18" i="3"/>
  <c r="Q74" i="3" s="1"/>
  <c r="AD18" i="3"/>
  <c r="E18" i="3"/>
  <c r="D18" i="3"/>
  <c r="C18" i="3"/>
  <c r="B18" i="3"/>
  <c r="AI17" i="3"/>
  <c r="AD17" i="3"/>
  <c r="AF17" i="3" s="1"/>
  <c r="AM17" i="3" s="1"/>
  <c r="AC17" i="3"/>
  <c r="AE17" i="3" s="1"/>
  <c r="AL17" i="3" s="1"/>
  <c r="F17" i="3"/>
  <c r="G17" i="3" s="1"/>
  <c r="AD16" i="3"/>
  <c r="AG16" i="3" s="1"/>
  <c r="AC16" i="3"/>
  <c r="F16" i="3"/>
  <c r="G16" i="3" s="1"/>
  <c r="F15" i="3"/>
  <c r="G15" i="3" s="1"/>
  <c r="AI14" i="3"/>
  <c r="AH14" i="3"/>
  <c r="F14" i="3"/>
  <c r="G14" i="3" s="1"/>
  <c r="AI13" i="3"/>
  <c r="AC13" i="3"/>
  <c r="AE13" i="3" s="1"/>
  <c r="AL13" i="3" s="1"/>
  <c r="F13" i="3"/>
  <c r="G13" i="3" s="1"/>
  <c r="AG12" i="3"/>
  <c r="AD12" i="3"/>
  <c r="P76" i="3" s="1"/>
  <c r="L91" i="3" s="1"/>
  <c r="AC12" i="3"/>
  <c r="F12" i="3"/>
  <c r="G12" i="3" s="1"/>
  <c r="AH11" i="3"/>
  <c r="AD11" i="3"/>
  <c r="AF11" i="3" s="1"/>
  <c r="AM11" i="3" s="1"/>
  <c r="F11" i="3"/>
  <c r="AF10" i="3"/>
  <c r="AM10" i="3" s="1"/>
  <c r="AE10" i="3"/>
  <c r="AL10" i="3" s="1"/>
  <c r="G10" i="3"/>
  <c r="AI8" i="3"/>
  <c r="M72" i="3" s="1"/>
  <c r="AH8" i="3"/>
  <c r="L72" i="3" s="1"/>
  <c r="AJ7" i="3"/>
  <c r="AK7" i="3" s="1"/>
  <c r="AF7" i="3"/>
  <c r="AM7" i="3" s="1"/>
  <c r="AE7" i="3"/>
  <c r="AL7" i="3" s="1"/>
  <c r="AD6" i="3"/>
  <c r="AF6" i="3" s="1"/>
  <c r="AM6" i="3" s="1"/>
  <c r="AH5" i="3"/>
  <c r="AD5" i="3"/>
  <c r="AF5" i="3" s="1"/>
  <c r="AC5" i="3"/>
  <c r="AE5" i="3" s="1"/>
  <c r="AD4" i="3"/>
  <c r="AC4" i="3"/>
  <c r="E71" i="3" s="1"/>
  <c r="E86" i="3" s="1"/>
  <c r="AD13" i="3" l="1"/>
  <c r="AF13" i="3" s="1"/>
  <c r="AM13" i="3" s="1"/>
  <c r="U35" i="3"/>
  <c r="AC19" i="3"/>
  <c r="V76" i="3"/>
  <c r="AG13" i="3"/>
  <c r="AD19" i="3"/>
  <c r="O39" i="3"/>
  <c r="G72" i="3"/>
  <c r="V77" i="3"/>
  <c r="AH23" i="3"/>
  <c r="AJ12" i="3"/>
  <c r="AK12" i="3" s="1"/>
  <c r="H49" i="3"/>
  <c r="AG17" i="3"/>
  <c r="U38" i="3"/>
  <c r="AG5" i="3"/>
  <c r="R93" i="3"/>
  <c r="Z81" i="3"/>
  <c r="AI9" i="3"/>
  <c r="AI10" i="3"/>
  <c r="P59" i="3"/>
  <c r="O7" i="2"/>
  <c r="AJ17" i="3"/>
  <c r="AK17" i="3" s="1"/>
  <c r="F18" i="3"/>
  <c r="G18" i="3" s="1"/>
  <c r="K77" i="3"/>
  <c r="I92" i="3" s="1"/>
  <c r="AD14" i="3"/>
  <c r="AF14" i="3" s="1"/>
  <c r="AM14" i="3" s="1"/>
  <c r="AI25" i="3"/>
  <c r="AE4" i="3"/>
  <c r="K39" i="3"/>
  <c r="AG6" i="3"/>
  <c r="AJ6" i="3" s="1"/>
  <c r="AC11" i="3"/>
  <c r="AE11" i="3" s="1"/>
  <c r="AL11" i="3" s="1"/>
  <c r="AF12" i="3"/>
  <c r="AM12" i="3" s="1"/>
  <c r="L77" i="3"/>
  <c r="AF16" i="3"/>
  <c r="AM16" i="3" s="1"/>
  <c r="AH17" i="3"/>
  <c r="U57" i="3"/>
  <c r="H59" i="3"/>
  <c r="U75" i="3"/>
  <c r="O90" i="3" s="1"/>
  <c r="AC15" i="3"/>
  <c r="AE15" i="3" s="1"/>
  <c r="AL15" i="3" s="1"/>
  <c r="AG24" i="3"/>
  <c r="AJ24" i="3" s="1"/>
  <c r="AK24" i="3" s="1"/>
  <c r="AF27" i="3"/>
  <c r="AM27" i="3" s="1"/>
  <c r="U34" i="3"/>
  <c r="N76" i="3"/>
  <c r="AH10" i="3"/>
  <c r="L71" i="3" s="1"/>
  <c r="L79" i="3" s="1"/>
  <c r="AJ13" i="3"/>
  <c r="AK13" i="3" s="1"/>
  <c r="AD15" i="3"/>
  <c r="AG15" i="3" s="1"/>
  <c r="AJ15" i="3" s="1"/>
  <c r="AK15" i="3" s="1"/>
  <c r="AF20" i="3"/>
  <c r="AM20" i="3" s="1"/>
  <c r="AE22" i="3"/>
  <c r="AL22" i="3" s="1"/>
  <c r="AG27" i="3"/>
  <c r="U43" i="3"/>
  <c r="D49" i="3"/>
  <c r="L59" i="3"/>
  <c r="AI15" i="3" s="1"/>
  <c r="W76" i="3" s="1"/>
  <c r="E39" i="3"/>
  <c r="AL5" i="3"/>
  <c r="AM5" i="3"/>
  <c r="AJ5" i="3"/>
  <c r="F71" i="3"/>
  <c r="AF4" i="3"/>
  <c r="AG4" i="3"/>
  <c r="J71" i="3"/>
  <c r="AE9" i="3"/>
  <c r="AL9" i="3" s="1"/>
  <c r="AG11" i="3"/>
  <c r="AJ11" i="3" s="1"/>
  <c r="AK11" i="3" s="1"/>
  <c r="V79" i="3"/>
  <c r="Y80" i="3"/>
  <c r="AE27" i="3"/>
  <c r="AL27" i="3" s="1"/>
  <c r="AD9" i="3"/>
  <c r="AG10" i="3" s="1"/>
  <c r="G39" i="3"/>
  <c r="U32" i="3"/>
  <c r="M49" i="3"/>
  <c r="AH16" i="3"/>
  <c r="Q73" i="3" s="1"/>
  <c r="Q79" i="3" s="1"/>
  <c r="U44" i="3"/>
  <c r="H72" i="3"/>
  <c r="AE16" i="3"/>
  <c r="AL16" i="3" s="1"/>
  <c r="AF21" i="3"/>
  <c r="AM21" i="3" s="1"/>
  <c r="AG21" i="3"/>
  <c r="AJ21" i="3" s="1"/>
  <c r="AK21" i="3" s="1"/>
  <c r="U53" i="3"/>
  <c r="D59" i="3"/>
  <c r="M59" i="3"/>
  <c r="AI16" i="3"/>
  <c r="R73" i="3" s="1"/>
  <c r="R79" i="3" s="1"/>
  <c r="AE6" i="3"/>
  <c r="O76" i="3"/>
  <c r="K91" i="3" s="1"/>
  <c r="AE12" i="3"/>
  <c r="AL12" i="3" s="1"/>
  <c r="M77" i="3"/>
  <c r="P77" i="3"/>
  <c r="L92" i="3" s="1"/>
  <c r="AF18" i="3"/>
  <c r="AM18" i="3" s="1"/>
  <c r="O74" i="3"/>
  <c r="K89" i="3" s="1"/>
  <c r="T89" i="3" s="1"/>
  <c r="AE19" i="3"/>
  <c r="AL19" i="3" s="1"/>
  <c r="AG22" i="3"/>
  <c r="AF22" i="3"/>
  <c r="AM22" i="3" s="1"/>
  <c r="AC8" i="3"/>
  <c r="AD8" i="3"/>
  <c r="AG25" i="3"/>
  <c r="AJ25" i="3" s="1"/>
  <c r="AK25" i="3" s="1"/>
  <c r="AC25" i="3"/>
  <c r="AE25" i="3" s="1"/>
  <c r="AL25" i="3" s="1"/>
  <c r="R39" i="3"/>
  <c r="O49" i="3"/>
  <c r="U46" i="3"/>
  <c r="AH20" i="3"/>
  <c r="J91" i="3"/>
  <c r="AD26" i="3"/>
  <c r="AF26" i="3" s="1"/>
  <c r="AM26" i="3" s="1"/>
  <c r="AG26" i="3"/>
  <c r="AJ26" i="3" s="1"/>
  <c r="AK26" i="3" s="1"/>
  <c r="AC26" i="3"/>
  <c r="AE26" i="3" s="1"/>
  <c r="AL26" i="3" s="1"/>
  <c r="M71" i="3"/>
  <c r="G11" i="3"/>
  <c r="AC14" i="3"/>
  <c r="AE14" i="3" s="1"/>
  <c r="AL14" i="3" s="1"/>
  <c r="AG14" i="3"/>
  <c r="AJ14" i="3" s="1"/>
  <c r="AK14" i="3" s="1"/>
  <c r="AG18" i="3"/>
  <c r="AC18" i="3"/>
  <c r="U47" i="3"/>
  <c r="J49" i="3"/>
  <c r="U48" i="3"/>
  <c r="U54" i="3"/>
  <c r="I59" i="3"/>
  <c r="T75" i="3"/>
  <c r="U37" i="3"/>
  <c r="J59" i="3"/>
  <c r="U58" i="3"/>
  <c r="P73" i="3"/>
  <c r="C49" i="3"/>
  <c r="AH4" i="3" s="1"/>
  <c r="C59" i="3"/>
  <c r="AI4" i="3" s="1"/>
  <c r="U52" i="3"/>
  <c r="O59" i="3"/>
  <c r="AI20" i="3"/>
  <c r="S75" i="3" s="1"/>
  <c r="AD23" i="3"/>
  <c r="U77" i="3" s="1"/>
  <c r="O92" i="3" s="1"/>
  <c r="U33" i="3"/>
  <c r="AF19" i="3" l="1"/>
  <c r="AM19" i="3" s="1"/>
  <c r="P74" i="3"/>
  <c r="L89" i="3" s="1"/>
  <c r="U89" i="3" s="1"/>
  <c r="AJ16" i="3"/>
  <c r="AK16" i="3" s="1"/>
  <c r="D6" i="2"/>
  <c r="D5" i="2"/>
  <c r="AG19" i="3"/>
  <c r="AJ19" i="3" s="1"/>
  <c r="AK19" i="3" s="1"/>
  <c r="O73" i="3"/>
  <c r="AJ10" i="3"/>
  <c r="AK10" i="3" s="1"/>
  <c r="AD28" i="3"/>
  <c r="U59" i="3"/>
  <c r="I77" i="3"/>
  <c r="G92" i="3" s="1"/>
  <c r="U39" i="3"/>
  <c r="AK6" i="3"/>
  <c r="O4" i="2"/>
  <c r="O3" i="2"/>
  <c r="H6" i="2"/>
  <c r="K6" i="2" s="1"/>
  <c r="AL6" i="3"/>
  <c r="L5" i="2"/>
  <c r="O5" i="2" s="1"/>
  <c r="L6" i="2"/>
  <c r="O6" i="2" s="1"/>
  <c r="U92" i="3"/>
  <c r="AG8" i="3"/>
  <c r="AF15" i="3"/>
  <c r="AM15" i="3" s="1"/>
  <c r="G6" i="2"/>
  <c r="G5" i="2"/>
  <c r="AL4" i="3"/>
  <c r="U76" i="3"/>
  <c r="O91" i="3" s="1"/>
  <c r="U91" i="3" s="1"/>
  <c r="N73" i="3"/>
  <c r="F72" i="3"/>
  <c r="F87" i="3" s="1"/>
  <c r="AJ4" i="3"/>
  <c r="K7" i="2"/>
  <c r="AM4" i="3"/>
  <c r="G7" i="2"/>
  <c r="X80" i="3"/>
  <c r="AJ27" i="3"/>
  <c r="AK27" i="3" s="1"/>
  <c r="U49" i="3"/>
  <c r="H5" i="2"/>
  <c r="K5" i="2" s="1"/>
  <c r="R94" i="3"/>
  <c r="U93" i="3"/>
  <c r="AK5" i="3"/>
  <c r="K4" i="2"/>
  <c r="K3" i="2"/>
  <c r="J72" i="3"/>
  <c r="H87" i="3" s="1"/>
  <c r="AE8" i="3"/>
  <c r="AL8" i="3" s="1"/>
  <c r="Y81" i="3"/>
  <c r="Q93" i="3"/>
  <c r="AF23" i="3"/>
  <c r="AM23" i="3" s="1"/>
  <c r="AG23" i="3"/>
  <c r="AJ23" i="3" s="1"/>
  <c r="AK23" i="3" s="1"/>
  <c r="O77" i="3"/>
  <c r="K92" i="3" s="1"/>
  <c r="AE18" i="3"/>
  <c r="AL18" i="3" s="1"/>
  <c r="W75" i="3"/>
  <c r="W79" i="3" s="1"/>
  <c r="AJ20" i="3"/>
  <c r="AK20" i="3" s="1"/>
  <c r="E72" i="3"/>
  <c r="T76" i="3"/>
  <c r="N91" i="3" s="1"/>
  <c r="T91" i="3" s="1"/>
  <c r="F86" i="3"/>
  <c r="AH28" i="3"/>
  <c r="G71" i="3"/>
  <c r="G79" i="3" s="1"/>
  <c r="J77" i="3"/>
  <c r="H92" i="3" s="1"/>
  <c r="AJ18" i="3"/>
  <c r="AK18" i="3" s="1"/>
  <c r="M79" i="3"/>
  <c r="D72" i="3"/>
  <c r="D87" i="3" s="1"/>
  <c r="K71" i="3"/>
  <c r="AG9" i="3"/>
  <c r="AF9" i="3"/>
  <c r="AM9" i="3" s="1"/>
  <c r="D71" i="3"/>
  <c r="U90" i="3"/>
  <c r="O94" i="3"/>
  <c r="S76" i="3"/>
  <c r="M91" i="3" s="1"/>
  <c r="S91" i="3" s="1"/>
  <c r="P79" i="3"/>
  <c r="L88" i="3"/>
  <c r="H86" i="3"/>
  <c r="H71" i="3"/>
  <c r="H79" i="3" s="1"/>
  <c r="AI28" i="3"/>
  <c r="N90" i="3"/>
  <c r="K72" i="3"/>
  <c r="I87" i="3" s="1"/>
  <c r="AF8" i="3"/>
  <c r="AM8" i="3" s="1"/>
  <c r="S77" i="3"/>
  <c r="M92" i="3" s="1"/>
  <c r="S92" i="3" s="1"/>
  <c r="AJ22" i="3"/>
  <c r="AK22" i="3" s="1"/>
  <c r="AC28" i="3"/>
  <c r="K88" i="3"/>
  <c r="J88" i="3"/>
  <c r="U79" i="3"/>
  <c r="AG28" i="3" l="1"/>
  <c r="AJ28" i="3" s="1"/>
  <c r="AK28" i="3" s="1"/>
  <c r="AJ8" i="3"/>
  <c r="AK8" i="3" s="1"/>
  <c r="N74" i="3"/>
  <c r="J89" i="3" s="1"/>
  <c r="S89" i="3" s="1"/>
  <c r="O79" i="3"/>
  <c r="T79" i="3"/>
  <c r="T92" i="3"/>
  <c r="F79" i="3"/>
  <c r="U87" i="3"/>
  <c r="I72" i="3"/>
  <c r="G87" i="3" s="1"/>
  <c r="S87" i="3" s="1"/>
  <c r="X81" i="3"/>
  <c r="P93" i="3"/>
  <c r="G4" i="2"/>
  <c r="G3" i="2"/>
  <c r="AK4" i="3"/>
  <c r="J79" i="3"/>
  <c r="E87" i="3"/>
  <c r="E79" i="3"/>
  <c r="T90" i="3"/>
  <c r="N94" i="3"/>
  <c r="F94" i="3"/>
  <c r="S79" i="3"/>
  <c r="S88" i="3"/>
  <c r="J94" i="3"/>
  <c r="D79" i="3"/>
  <c r="D86" i="3"/>
  <c r="I71" i="3"/>
  <c r="AJ9" i="3"/>
  <c r="AK9" i="3" s="1"/>
  <c r="M90" i="3"/>
  <c r="Q94" i="3"/>
  <c r="T93" i="3"/>
  <c r="H94" i="3"/>
  <c r="T86" i="3"/>
  <c r="I86" i="3"/>
  <c r="I94" i="3" s="1"/>
  <c r="K79" i="3"/>
  <c r="T88" i="3"/>
  <c r="K94" i="3"/>
  <c r="N79" i="3"/>
  <c r="U88" i="3"/>
  <c r="L94" i="3"/>
  <c r="G9" i="2" l="1"/>
  <c r="S93" i="3"/>
  <c r="P94" i="3"/>
  <c r="D94" i="3"/>
  <c r="G86" i="3"/>
  <c r="G94" i="3" s="1"/>
  <c r="I79" i="3"/>
  <c r="M94" i="3"/>
  <c r="S90" i="3"/>
  <c r="U86" i="3"/>
  <c r="U94" i="3" s="1"/>
  <c r="T87" i="3"/>
  <c r="T94" i="3" s="1"/>
  <c r="E94" i="3"/>
  <c r="O38" i="2"/>
  <c r="O9" i="2"/>
  <c r="K38" i="2"/>
  <c r="K9" i="2"/>
  <c r="S86" i="3" l="1"/>
  <c r="S94" i="3" s="1"/>
  <c r="O39" i="2"/>
  <c r="K39" i="2"/>
  <c r="G39" i="2" l="1"/>
  <c r="C47" i="2" l="1"/>
  <c r="C48" i="2" l="1"/>
  <c r="C49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Véliz Arroyo, Rebeca</author>
  </authors>
  <commentList>
    <comment ref="M38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Véliz Arroyo, Rebeca:</t>
        </r>
        <r>
          <rPr>
            <sz val="9"/>
            <color indexed="81"/>
            <rFont val="Tahoma"/>
            <family val="2"/>
          </rPr>
          <t xml:space="preserve">
Incluido un 7000Bi</t>
        </r>
      </text>
    </comment>
  </commentList>
</comments>
</file>

<file path=xl/sharedStrings.xml><?xml version="1.0" encoding="utf-8"?>
<sst xmlns="http://schemas.openxmlformats.org/spreadsheetml/2006/main" count="308" uniqueCount="197">
  <si>
    <t>ZX</t>
  </si>
  <si>
    <t>ZN</t>
  </si>
  <si>
    <t>A</t>
  </si>
  <si>
    <t>D</t>
  </si>
  <si>
    <t>BLOQUE A</t>
  </si>
  <si>
    <t>Línea 2 RPP /Tipo 3000</t>
  </si>
  <si>
    <t>Línea 3 /TIPO 3000</t>
  </si>
  <si>
    <t>Tipo de operación</t>
  </si>
  <si>
    <t>Código</t>
  </si>
  <si>
    <t>Nº Operaciones año tipo</t>
  </si>
  <si>
    <t>LIMPIEZAS ORDINARIAS</t>
  </si>
  <si>
    <t>Limpieza A</t>
  </si>
  <si>
    <t>Limpieza (ZX) exterior</t>
  </si>
  <si>
    <t>Limpieza (ZXT) exterior túnel</t>
  </si>
  <si>
    <t>ZXT</t>
  </si>
  <si>
    <t>Limpieza (ZN) interior</t>
  </si>
  <si>
    <t>Limpieza integral (LI)</t>
  </si>
  <si>
    <t>LI:</t>
  </si>
  <si>
    <t>LIMPIEZAS TECNICAS</t>
  </si>
  <si>
    <t>Lavado equipos A/A manual</t>
  </si>
  <si>
    <t>Soplado equipos A/A manual</t>
  </si>
  <si>
    <t>Soplado equipos A/A automatizado</t>
  </si>
  <si>
    <t>Soplado /Aspirado de Elementos manual (Revisión Modular)</t>
  </si>
  <si>
    <t>Soplado/Aspirado de Elementos automatizado (Revisión Modular)</t>
  </si>
  <si>
    <t>Limpieza de puertas, camillas y escalera de emergencia</t>
  </si>
  <si>
    <t>PCEE</t>
  </si>
  <si>
    <t>CAMPAÑAS</t>
  </si>
  <si>
    <t>Limpieza de guardabarros</t>
  </si>
  <si>
    <t>LGB</t>
  </si>
  <si>
    <t>Limpieza interior de bastidores de asientos</t>
  </si>
  <si>
    <t>LBA</t>
  </si>
  <si>
    <t>Reposición y colocación de pegatinas (por pegatina)</t>
  </si>
  <si>
    <t>PEG</t>
  </si>
  <si>
    <t>Colocación de perching (por caja)</t>
  </si>
  <si>
    <t>PERC</t>
  </si>
  <si>
    <t>FILM</t>
  </si>
  <si>
    <t>PUL</t>
  </si>
  <si>
    <t>RBTA</t>
  </si>
  <si>
    <t>Limpieza de fosos con equipamiento</t>
  </si>
  <si>
    <t>LFE</t>
  </si>
  <si>
    <t>Limpieza de bienes de producción</t>
  </si>
  <si>
    <t xml:space="preserve">Coste ANUAL </t>
  </si>
  <si>
    <t>Línea 1 / Tipo 2000CBTC</t>
  </si>
  <si>
    <t>SUBTOTALES (1):</t>
  </si>
  <si>
    <t>SUBTOTALES (2):</t>
  </si>
  <si>
    <t>SUBTOTALES (3):</t>
  </si>
  <si>
    <t>TOTAL LÍNEA</t>
  </si>
  <si>
    <t>LIMPIEZAS DE OTRA ÍNDOLE</t>
  </si>
  <si>
    <t>Sustitución de mantas filtrantes</t>
  </si>
  <si>
    <t>FA</t>
  </si>
  <si>
    <t>Retirada de bidones de trapos absorbentes y mantas filtrantes (día)</t>
  </si>
  <si>
    <t>SERVICIO DE MANTENIMIENTO DE CICLO CORTO</t>
  </si>
  <si>
    <t>CARGAS DE LIMPIEZAS POR LÍNEAS AL DIA</t>
  </si>
  <si>
    <t>LIMPIEZA DE COCHES</t>
  </si>
  <si>
    <t>TIPO</t>
  </si>
  <si>
    <t>LINEA</t>
  </si>
  <si>
    <t>CENTRO</t>
  </si>
  <si>
    <t>EMPRESA</t>
  </si>
  <si>
    <t>LI</t>
  </si>
  <si>
    <t xml:space="preserve">ZX </t>
  </si>
  <si>
    <t xml:space="preserve">ZN </t>
  </si>
  <si>
    <t>"A"</t>
  </si>
  <si>
    <t xml:space="preserve">"A" </t>
  </si>
  <si>
    <t>"ZX"</t>
  </si>
  <si>
    <t>MES</t>
  </si>
  <si>
    <t>HABILES</t>
  </si>
  <si>
    <t>SABADOS</t>
  </si>
  <si>
    <t>DOMINGOS</t>
  </si>
  <si>
    <t>AÑO</t>
  </si>
  <si>
    <t>PLANIFICACIÓN MENSUAL DE LIMPIEZA DE MATERIAL MÓVIL</t>
  </si>
  <si>
    <t>CICLOS DE LIMPIEZA EN DÍAS</t>
  </si>
  <si>
    <t>L01</t>
  </si>
  <si>
    <t>D12</t>
  </si>
  <si>
    <t>L02</t>
  </si>
  <si>
    <t>D02</t>
  </si>
  <si>
    <t>L03</t>
  </si>
  <si>
    <t>D13</t>
  </si>
  <si>
    <t>FECHA</t>
  </si>
  <si>
    <t>COCHES</t>
  </si>
  <si>
    <t>INT</t>
  </si>
  <si>
    <t>BG</t>
  </si>
  <si>
    <t>A/A</t>
  </si>
  <si>
    <t>L04</t>
  </si>
  <si>
    <t>D09</t>
  </si>
  <si>
    <t>B</t>
  </si>
  <si>
    <t xml:space="preserve">P M T </t>
  </si>
  <si>
    <t>PMT</t>
  </si>
  <si>
    <t>PCL</t>
  </si>
  <si>
    <t>PI</t>
  </si>
  <si>
    <t>TOTAL</t>
  </si>
  <si>
    <t>% PMT</t>
  </si>
  <si>
    <t>M/L</t>
  </si>
  <si>
    <t>L05</t>
  </si>
  <si>
    <t>D04</t>
  </si>
  <si>
    <t>D05</t>
  </si>
  <si>
    <t xml:space="preserve">DIAS MES </t>
  </si>
  <si>
    <t>L06</t>
  </si>
  <si>
    <t>D08 y C6UN</t>
  </si>
  <si>
    <t>C</t>
  </si>
  <si>
    <t>HÁBILES</t>
  </si>
  <si>
    <t>L 07A</t>
  </si>
  <si>
    <t>FESTIVOS</t>
  </si>
  <si>
    <t>L07B</t>
  </si>
  <si>
    <t>8000L6</t>
  </si>
  <si>
    <t>L08</t>
  </si>
  <si>
    <t>D06</t>
  </si>
  <si>
    <t>L09A</t>
  </si>
  <si>
    <t>C9PA</t>
  </si>
  <si>
    <t>8000  D</t>
  </si>
  <si>
    <t>D07</t>
  </si>
  <si>
    <t>L09</t>
  </si>
  <si>
    <t>Parque medio total</t>
  </si>
  <si>
    <t>L10A</t>
  </si>
  <si>
    <t>Paralización ciclo largo</t>
  </si>
  <si>
    <t>Parque inmovilizado</t>
  </si>
  <si>
    <t>L10B</t>
  </si>
  <si>
    <t>L11</t>
  </si>
  <si>
    <t>D10</t>
  </si>
  <si>
    <t>L12</t>
  </si>
  <si>
    <t>D11</t>
  </si>
  <si>
    <t>D O T A C I Ó N   D E   C O C H E S   P O R   L Í N E A S   I N C L U I D O   R E S E R V A S</t>
  </si>
  <si>
    <t>RPP</t>
  </si>
  <si>
    <t>NORTE</t>
  </si>
  <si>
    <t>ML</t>
  </si>
  <si>
    <r>
      <t>NOTA</t>
    </r>
    <r>
      <rPr>
        <sz val="10"/>
        <rFont val="Arial"/>
        <family val="2"/>
      </rPr>
      <t xml:space="preserve">: </t>
    </r>
    <r>
      <rPr>
        <i/>
        <sz val="8"/>
        <rFont val="Arial"/>
        <family val="2"/>
      </rPr>
      <t>Se ha tenido en cuenta la tabla de trenes correspondiente al período de invierno 2010/2011. Circular 94/10</t>
    </r>
  </si>
  <si>
    <t>T  O  T  A  L  E  S</t>
  </si>
  <si>
    <t>LINEAS</t>
  </si>
  <si>
    <t>L06-1</t>
  </si>
  <si>
    <t>LO6-2</t>
  </si>
  <si>
    <t>L07-A</t>
  </si>
  <si>
    <t>L07-B</t>
  </si>
  <si>
    <t>L09-A</t>
  </si>
  <si>
    <t>L09-B</t>
  </si>
  <si>
    <t>L10-A</t>
  </si>
  <si>
    <t>L10-B</t>
  </si>
  <si>
    <t>RN</t>
  </si>
  <si>
    <t>DIAS HÁBILES</t>
  </si>
  <si>
    <t>Total</t>
  </si>
  <si>
    <t xml:space="preserve">S A B A D O S </t>
  </si>
  <si>
    <t xml:space="preserve">D O M I N G O S </t>
  </si>
  <si>
    <t>GERENCIA DE MANTENIMIENTO DE CICLO CORTO</t>
  </si>
  <si>
    <t>L I M P I E Z A S   D I A R I A S   H Á B I L E S   Y   F E S T I V O S</t>
  </si>
  <si>
    <t>GRUPO A (1, 2, R, 3 )</t>
  </si>
  <si>
    <t>GRUPO B (4, 5,7 )</t>
  </si>
  <si>
    <t>GRUPO C (6,9)</t>
  </si>
  <si>
    <t>GRUPO D (8, 10, 11, 12)</t>
  </si>
  <si>
    <t>sabad</t>
  </si>
  <si>
    <t>domin</t>
  </si>
  <si>
    <t>T   O   T   A   L       L  I   M   P   I   E   Z   A   S       M   E  S</t>
  </si>
  <si>
    <t>GRUPO A</t>
  </si>
  <si>
    <t>GRUPO B</t>
  </si>
  <si>
    <t>GRUPO C</t>
  </si>
  <si>
    <t>GRUPO D</t>
  </si>
  <si>
    <t>TOTAL PARQUE</t>
  </si>
  <si>
    <t>Limpieza RCL previa</t>
  </si>
  <si>
    <t>Limpieza RCL coronas</t>
  </si>
  <si>
    <t>RCLp</t>
  </si>
  <si>
    <t>RCLc</t>
  </si>
  <si>
    <t>Limpieza individual de cofres</t>
  </si>
  <si>
    <t>LC</t>
  </si>
  <si>
    <t>EM</t>
  </si>
  <si>
    <t>LEBB</t>
  </si>
  <si>
    <t>LAAM</t>
  </si>
  <si>
    <t>SAAM</t>
  </si>
  <si>
    <t>SAAA</t>
  </si>
  <si>
    <t>SBBA</t>
  </si>
  <si>
    <t>SBBM</t>
  </si>
  <si>
    <t>IB</t>
  </si>
  <si>
    <t>Limpieza de bastidor y "H" del bogie</t>
  </si>
  <si>
    <t>Limpieza de vía con elevadores</t>
  </si>
  <si>
    <t>LVE</t>
  </si>
  <si>
    <t>LBP</t>
  </si>
  <si>
    <t>Limpieza de elementos bajo bastidor manual</t>
  </si>
  <si>
    <t>Tratamiento de lunas frontales</t>
  </si>
  <si>
    <t>TLF</t>
  </si>
  <si>
    <t>Recuperación lunas frontales</t>
  </si>
  <si>
    <t>RLF</t>
  </si>
  <si>
    <r>
      <t>Sustitución de film en ventanas interior recinto de viajeros (*m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</si>
  <si>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r>
      <t>Pulido totalmente transparente de cristales (*m</t>
    </r>
    <r>
      <rPr>
        <vertAlign val="superscript"/>
        <sz val="10"/>
        <rFont val="Arial"/>
        <family val="2"/>
      </rPr>
      <t>2)</t>
    </r>
  </si>
  <si>
    <r>
      <t>Eliminación de murales (m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) </t>
    </r>
  </si>
  <si>
    <t>Precio máximo</t>
  </si>
  <si>
    <t>IMPORTE IVA</t>
  </si>
  <si>
    <t>TOTAL CON IVA</t>
  </si>
  <si>
    <t>PRECIO  SIN IVA</t>
  </si>
  <si>
    <t>UTILIZAR DOS DECIMALES</t>
  </si>
  <si>
    <t xml:space="preserve">Precio </t>
  </si>
  <si>
    <t>LEE</t>
  </si>
  <si>
    <t>Limpiezas especiales extraordinarias</t>
  </si>
  <si>
    <t>PRECIOS POR COCHE</t>
  </si>
  <si>
    <t>Limpieza (Zn) Desinfección</t>
  </si>
  <si>
    <t>ZN Co</t>
  </si>
  <si>
    <t>LST</t>
  </si>
  <si>
    <t>Limpieza suelos y techos</t>
  </si>
  <si>
    <t>PRECIO HORA EXTRAORDINARIA PERSONAL, MATERIAL Y GESTIÓN</t>
  </si>
  <si>
    <t xml:space="preserve">PRECIO HORA LIMPIEZAS EXTRAORDINARIAS SIN ACREDITACIÓN </t>
  </si>
  <si>
    <t xml:space="preserve">PRECIO HORA LIMPIEZAS EXTRAORDINARIAS CON ACREDITACIÓN </t>
  </si>
  <si>
    <t>Se deberán tener en cuenta las notas del apartado 27 "Evaluación de ofertas" del PCP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</si>
</sst>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&quot;€&quot;"/>
    <numFmt numFmtId="165" formatCode="_-* #,##0.00_-;\-* #,##0.00_-;_-* &quot;-&quot;??_-;_-@_-"/>
    <numFmt numFmtId="166" formatCode="#,##0.000"/>
    <numFmt numFmtId="167" formatCode="mmmm\-yy"/>
    <numFmt numFmtId="168" formatCode="0.0"/>
  </numFmts>
  <fonts count="40" x14ac:knownFonts="1">
    <font>
      <sz val="10"/>
      <name val="Arial"/>
    </font>
    <font>
      <b/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color rgb="FFFF0000"/>
      <name val="Arial"/>
      <family val="2"/>
    </font>
    <font>
      <b/>
      <sz val="12"/>
      <color rgb="FFFF0000"/>
      <name val="Arial"/>
      <family val="2"/>
    </font>
    <font>
      <b/>
      <sz val="10"/>
      <color rgb="FF00B0F0"/>
      <name val="Arial"/>
      <family val="2"/>
    </font>
    <font>
      <sz val="14"/>
      <name val="Arial"/>
      <family val="2"/>
    </font>
    <font>
      <b/>
      <sz val="12"/>
      <color rgb="FF00B050"/>
      <name val="Arial"/>
      <family val="2"/>
    </font>
    <font>
      <b/>
      <sz val="18"/>
      <name val="Arial Narrow"/>
      <family val="2"/>
    </font>
    <font>
      <b/>
      <sz val="12"/>
      <name val="Arial Black"/>
      <family val="2"/>
    </font>
    <font>
      <b/>
      <sz val="14"/>
      <name val="Arial Narrow"/>
      <family val="2"/>
    </font>
    <font>
      <b/>
      <sz val="9"/>
      <name val="Arial"/>
      <family val="2"/>
    </font>
    <font>
      <b/>
      <sz val="6"/>
      <name val="Arial"/>
      <family val="2"/>
    </font>
    <font>
      <b/>
      <sz val="10"/>
      <name val="Arial Black"/>
      <family val="2"/>
    </font>
    <font>
      <sz val="12"/>
      <name val="Arial Black"/>
      <family val="2"/>
    </font>
    <font>
      <sz val="8"/>
      <name val="Arial"/>
      <family val="2"/>
    </font>
    <font>
      <sz val="10"/>
      <name val="Arial Black"/>
      <family val="2"/>
    </font>
    <font>
      <b/>
      <sz val="10"/>
      <name val="Arial Rounded MT Bold"/>
      <family val="2"/>
    </font>
    <font>
      <b/>
      <sz val="10"/>
      <name val="Comic Sans MS"/>
      <family val="4"/>
    </font>
    <font>
      <sz val="7"/>
      <name val="Arial"/>
      <family val="2"/>
    </font>
    <font>
      <sz val="9"/>
      <name val="Arial"/>
      <family val="2"/>
    </font>
    <font>
      <sz val="6"/>
      <name val="Arial"/>
      <family val="2"/>
    </font>
    <font>
      <b/>
      <sz val="7"/>
      <name val="Arial"/>
      <family val="2"/>
    </font>
    <font>
      <sz val="11"/>
      <name val="Arial Black"/>
      <family val="2"/>
    </font>
    <font>
      <i/>
      <sz val="8"/>
      <name val="Arial"/>
      <family val="2"/>
    </font>
    <font>
      <sz val="9"/>
      <name val="Arial Black"/>
      <family val="2"/>
    </font>
    <font>
      <b/>
      <sz val="6.5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name val="Arial"/>
      <family val="2"/>
    </font>
    <font>
      <sz val="10"/>
      <color rgb="FF00B0F0"/>
      <name val="Arial"/>
      <family val="2"/>
    </font>
    <font>
      <b/>
      <sz val="8"/>
      <color rgb="FFFF0000"/>
      <name val="Arial"/>
      <family val="2"/>
    </font>
    <font>
      <vertAlign val="superscript"/>
      <sz val="10"/>
      <name val="Arial"/>
      <family val="2"/>
    </font>
    <font>
      <b/>
      <sz val="10"/>
      <color theme="3" tint="0.39997558519241921"/>
      <name val="Arial"/>
      <family val="2"/>
    </font>
    <font>
      <b/>
      <sz val="18"/>
      <color rgb="FFFF0000"/>
      <name val="Arial"/>
      <family val="2"/>
    </font>
    <font>
      <b/>
      <sz val="18"/>
      <color rgb="FF00B05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15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4" fillId="0" borderId="0"/>
    <xf numFmtId="0" fontId="4" fillId="0" borderId="0"/>
  </cellStyleXfs>
  <cellXfs count="770">
    <xf numFmtId="0" fontId="0" fillId="0" borderId="0" xfId="0"/>
    <xf numFmtId="4" fontId="6" fillId="2" borderId="1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" fontId="0" fillId="0" borderId="0" xfId="0" applyNumberFormat="1" applyFill="1" applyAlignment="1">
      <alignment vertical="center"/>
    </xf>
    <xf numFmtId="4" fontId="0" fillId="0" borderId="0" xfId="0" applyNumberFormat="1" applyFill="1" applyAlignment="1">
      <alignment vertical="center"/>
    </xf>
    <xf numFmtId="3" fontId="0" fillId="0" borderId="0" xfId="0" applyNumberFormat="1" applyFill="1" applyAlignment="1">
      <alignment horizontal="center" vertical="center"/>
    </xf>
    <xf numFmtId="4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4" fontId="5" fillId="0" borderId="0" xfId="0" applyNumberFormat="1" applyFont="1" applyFill="1" applyAlignment="1">
      <alignment vertical="center"/>
    </xf>
    <xf numFmtId="3" fontId="0" fillId="0" borderId="0" xfId="0" applyNumberForma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164" fontId="5" fillId="4" borderId="11" xfId="1" applyNumberFormat="1" applyFont="1" applyFill="1" applyBorder="1" applyAlignment="1">
      <alignment vertical="center"/>
    </xf>
    <xf numFmtId="164" fontId="5" fillId="0" borderId="22" xfId="1" applyNumberFormat="1" applyFont="1" applyFill="1" applyBorder="1" applyAlignment="1">
      <alignment vertical="center"/>
    </xf>
    <xf numFmtId="3" fontId="4" fillId="4" borderId="7" xfId="0" applyNumberFormat="1" applyFont="1" applyFill="1" applyBorder="1" applyAlignment="1">
      <alignment horizontal="center" vertical="center"/>
    </xf>
    <xf numFmtId="3" fontId="4" fillId="0" borderId="7" xfId="0" applyNumberFormat="1" applyFont="1" applyFill="1" applyBorder="1" applyAlignment="1">
      <alignment horizontal="center" vertical="center"/>
    </xf>
    <xf numFmtId="164" fontId="9" fillId="0" borderId="26" xfId="1" applyNumberFormat="1" applyFont="1" applyFill="1" applyBorder="1" applyAlignment="1">
      <alignment vertical="center"/>
    </xf>
    <xf numFmtId="0" fontId="4" fillId="0" borderId="37" xfId="0" applyFont="1" applyFill="1" applyBorder="1" applyAlignment="1">
      <alignment vertical="center"/>
    </xf>
    <xf numFmtId="2" fontId="0" fillId="0" borderId="0" xfId="0" applyNumberFormat="1" applyFill="1" applyAlignment="1">
      <alignment vertical="center"/>
    </xf>
    <xf numFmtId="4" fontId="4" fillId="0" borderId="0" xfId="0" applyNumberFormat="1" applyFont="1" applyFill="1" applyAlignment="1">
      <alignment vertical="center"/>
    </xf>
    <xf numFmtId="2" fontId="0" fillId="0" borderId="0" xfId="0" applyNumberFormat="1" applyFill="1" applyAlignment="1">
      <alignment horizontal="center" vertical="center"/>
    </xf>
    <xf numFmtId="166" fontId="0" fillId="0" borderId="0" xfId="0" applyNumberFormat="1" applyFill="1" applyAlignment="1">
      <alignment vertical="center"/>
    </xf>
    <xf numFmtId="3" fontId="4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1" fillId="3" borderId="0" xfId="0" applyFont="1" applyFill="1" applyBorder="1" applyAlignment="1">
      <alignment horizontal="right" vertical="center"/>
    </xf>
    <xf numFmtId="3" fontId="11" fillId="3" borderId="0" xfId="0" applyNumberFormat="1" applyFont="1" applyFill="1" applyBorder="1" applyAlignment="1">
      <alignment horizontal="center" vertical="center"/>
    </xf>
    <xf numFmtId="4" fontId="11" fillId="3" borderId="0" xfId="0" applyNumberFormat="1" applyFont="1" applyFill="1" applyBorder="1" applyAlignment="1">
      <alignment horizontal="center" vertical="center"/>
    </xf>
    <xf numFmtId="164" fontId="11" fillId="0" borderId="0" xfId="1" applyNumberFormat="1" applyFont="1" applyFill="1" applyBorder="1" applyAlignment="1">
      <alignment vertical="center"/>
    </xf>
    <xf numFmtId="3" fontId="11" fillId="0" borderId="0" xfId="0" applyNumberFormat="1" applyFont="1" applyFill="1" applyBorder="1" applyAlignment="1">
      <alignment vertical="center"/>
    </xf>
    <xf numFmtId="4" fontId="11" fillId="0" borderId="0" xfId="0" applyNumberFormat="1" applyFont="1" applyFill="1" applyBorder="1" applyAlignment="1">
      <alignment vertical="center"/>
    </xf>
    <xf numFmtId="3" fontId="11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ill="1" applyAlignment="1">
      <alignment vertical="center"/>
    </xf>
    <xf numFmtId="0" fontId="0" fillId="0" borderId="14" xfId="0" applyBorder="1"/>
    <xf numFmtId="0" fontId="15" fillId="6" borderId="19" xfId="0" applyFont="1" applyFill="1" applyBorder="1" applyAlignment="1">
      <alignment horizontal="center" vertical="center"/>
    </xf>
    <xf numFmtId="0" fontId="15" fillId="0" borderId="19" xfId="0" applyFont="1" applyBorder="1" applyAlignment="1">
      <alignment horizontal="center"/>
    </xf>
    <xf numFmtId="0" fontId="15" fillId="0" borderId="41" xfId="0" applyFont="1" applyBorder="1" applyAlignment="1">
      <alignment horizontal="center"/>
    </xf>
    <xf numFmtId="0" fontId="15" fillId="6" borderId="43" xfId="0" applyFont="1" applyFill="1" applyBorder="1" applyAlignment="1">
      <alignment horizontal="center"/>
    </xf>
    <xf numFmtId="0" fontId="15" fillId="0" borderId="43" xfId="0" applyFont="1" applyFill="1" applyBorder="1" applyAlignment="1">
      <alignment horizontal="center"/>
    </xf>
    <xf numFmtId="0" fontId="15" fillId="6" borderId="2" xfId="0" applyFont="1" applyFill="1" applyBorder="1" applyAlignment="1">
      <alignment horizontal="center" vertical="center"/>
    </xf>
    <xf numFmtId="0" fontId="16" fillId="0" borderId="2" xfId="0" applyFont="1" applyBorder="1" applyAlignment="1">
      <alignment horizontal="center"/>
    </xf>
    <xf numFmtId="0" fontId="16" fillId="0" borderId="44" xfId="0" applyFont="1" applyBorder="1" applyAlignment="1">
      <alignment horizontal="center"/>
    </xf>
    <xf numFmtId="0" fontId="16" fillId="6" borderId="2" xfId="0" applyFont="1" applyFill="1" applyBorder="1" applyAlignment="1">
      <alignment horizontal="center"/>
    </xf>
    <xf numFmtId="0" fontId="16" fillId="0" borderId="33" xfId="0" applyFont="1" applyFill="1" applyBorder="1" applyAlignment="1">
      <alignment horizontal="center"/>
    </xf>
    <xf numFmtId="0" fontId="1" fillId="0" borderId="19" xfId="0" applyFont="1" applyBorder="1" applyAlignment="1">
      <alignment vertical="center"/>
    </xf>
    <xf numFmtId="0" fontId="15" fillId="0" borderId="19" xfId="0" applyFont="1" applyBorder="1" applyAlignment="1">
      <alignment horizontal="center" vertical="center"/>
    </xf>
    <xf numFmtId="0" fontId="19" fillId="0" borderId="45" xfId="0" applyFont="1" applyBorder="1" applyAlignment="1">
      <alignment horizontal="center" vertical="center"/>
    </xf>
    <xf numFmtId="0" fontId="10" fillId="8" borderId="19" xfId="0" applyFont="1" applyFill="1" applyBorder="1" applyAlignment="1">
      <alignment horizontal="center"/>
    </xf>
    <xf numFmtId="0" fontId="0" fillId="8" borderId="46" xfId="0" applyFill="1" applyBorder="1"/>
    <xf numFmtId="2" fontId="0" fillId="8" borderId="47" xfId="0" applyNumberFormat="1" applyFill="1" applyBorder="1" applyAlignment="1"/>
    <xf numFmtId="2" fontId="0" fillId="8" borderId="48" xfId="0" applyNumberFormat="1" applyFill="1" applyBorder="1" applyAlignment="1"/>
    <xf numFmtId="2" fontId="0" fillId="8" borderId="48" xfId="0" applyNumberFormat="1" applyFill="1" applyBorder="1" applyAlignment="1">
      <alignment horizontal="center"/>
    </xf>
    <xf numFmtId="2" fontId="0" fillId="8" borderId="49" xfId="0" applyNumberFormat="1" applyFill="1" applyBorder="1" applyAlignment="1">
      <alignment horizontal="center"/>
    </xf>
    <xf numFmtId="0" fontId="0" fillId="8" borderId="50" xfId="0" applyFill="1" applyBorder="1" applyAlignment="1">
      <alignment horizontal="center"/>
    </xf>
    <xf numFmtId="0" fontId="0" fillId="8" borderId="51" xfId="0" applyFill="1" applyBorder="1" applyAlignment="1">
      <alignment horizontal="center"/>
    </xf>
    <xf numFmtId="0" fontId="0" fillId="8" borderId="15" xfId="0" applyFill="1" applyBorder="1"/>
    <xf numFmtId="0" fontId="0" fillId="8" borderId="52" xfId="0" applyFill="1" applyBorder="1"/>
    <xf numFmtId="0" fontId="0" fillId="8" borderId="53" xfId="0" applyFill="1" applyBorder="1"/>
    <xf numFmtId="0" fontId="0" fillId="0" borderId="54" xfId="0" applyBorder="1"/>
    <xf numFmtId="0" fontId="0" fillId="0" borderId="0" xfId="0" applyBorder="1"/>
    <xf numFmtId="0" fontId="20" fillId="0" borderId="0" xfId="0" applyFont="1" applyFill="1" applyAlignment="1">
      <alignment horizontal="center" vertical="center"/>
    </xf>
    <xf numFmtId="0" fontId="0" fillId="0" borderId="0" xfId="0" applyFill="1"/>
    <xf numFmtId="0" fontId="1" fillId="0" borderId="45" xfId="0" applyFont="1" applyBorder="1" applyAlignment="1">
      <alignment horizontal="center" vertical="center"/>
    </xf>
    <xf numFmtId="0" fontId="15" fillId="0" borderId="55" xfId="0" applyFont="1" applyBorder="1" applyAlignment="1">
      <alignment horizontal="center" vertical="center"/>
    </xf>
    <xf numFmtId="0" fontId="19" fillId="0" borderId="52" xfId="0" applyFont="1" applyBorder="1" applyAlignment="1">
      <alignment horizontal="center" vertical="center"/>
    </xf>
    <xf numFmtId="0" fontId="10" fillId="8" borderId="45" xfId="0" applyFont="1" applyFill="1" applyBorder="1" applyAlignment="1">
      <alignment horizontal="center" vertical="center"/>
    </xf>
    <xf numFmtId="0" fontId="0" fillId="8" borderId="56" xfId="0" applyFill="1" applyBorder="1"/>
    <xf numFmtId="2" fontId="0" fillId="8" borderId="57" xfId="0" applyNumberFormat="1" applyFill="1" applyBorder="1" applyAlignment="1">
      <alignment horizontal="center"/>
    </xf>
    <xf numFmtId="0" fontId="0" fillId="8" borderId="55" xfId="0" applyFill="1" applyBorder="1"/>
    <xf numFmtId="0" fontId="0" fillId="8" borderId="45" xfId="0" applyFill="1" applyBorder="1"/>
    <xf numFmtId="0" fontId="0" fillId="8" borderId="58" xfId="0" applyFill="1" applyBorder="1"/>
    <xf numFmtId="0" fontId="15" fillId="0" borderId="45" xfId="0" applyFont="1" applyBorder="1" applyAlignment="1">
      <alignment horizontal="center" vertical="center"/>
    </xf>
    <xf numFmtId="0" fontId="10" fillId="8" borderId="45" xfId="0" applyFont="1" applyFill="1" applyBorder="1" applyAlignment="1">
      <alignment horizontal="center"/>
    </xf>
    <xf numFmtId="0" fontId="0" fillId="8" borderId="59" xfId="0" applyFill="1" applyBorder="1"/>
    <xf numFmtId="0" fontId="19" fillId="0" borderId="0" xfId="0" applyFont="1" applyAlignment="1">
      <alignment horizontal="center"/>
    </xf>
    <xf numFmtId="0" fontId="23" fillId="0" borderId="60" xfId="0" applyFont="1" applyBorder="1"/>
    <xf numFmtId="0" fontId="2" fillId="0" borderId="60" xfId="0" applyFont="1" applyBorder="1" applyAlignment="1">
      <alignment horizontal="center"/>
    </xf>
    <xf numFmtId="0" fontId="10" fillId="9" borderId="55" xfId="0" applyFont="1" applyFill="1" applyBorder="1" applyAlignment="1">
      <alignment horizontal="center" vertical="center"/>
    </xf>
    <xf numFmtId="0" fontId="0" fillId="9" borderId="59" xfId="0" applyFill="1" applyBorder="1"/>
    <xf numFmtId="2" fontId="0" fillId="9" borderId="57" xfId="0" applyNumberFormat="1" applyFill="1" applyBorder="1" applyAlignment="1">
      <alignment horizontal="center"/>
    </xf>
    <xf numFmtId="2" fontId="0" fillId="9" borderId="48" xfId="0" applyNumberFormat="1" applyFill="1" applyBorder="1" applyAlignment="1"/>
    <xf numFmtId="2" fontId="0" fillId="9" borderId="48" xfId="0" applyNumberFormat="1" applyFill="1" applyBorder="1" applyAlignment="1">
      <alignment horizontal="center"/>
    </xf>
    <xf numFmtId="0" fontId="0" fillId="9" borderId="50" xfId="0" applyFill="1" applyBorder="1" applyAlignment="1">
      <alignment horizontal="center"/>
    </xf>
    <xf numFmtId="0" fontId="0" fillId="9" borderId="51" xfId="0" applyFill="1" applyBorder="1" applyAlignment="1">
      <alignment horizontal="center"/>
    </xf>
    <xf numFmtId="0" fontId="0" fillId="9" borderId="45" xfId="0" applyFill="1" applyBorder="1"/>
    <xf numFmtId="0" fontId="0" fillId="9" borderId="58" xfId="0" applyFill="1" applyBorder="1"/>
    <xf numFmtId="0" fontId="10" fillId="9" borderId="52" xfId="0" applyFont="1" applyFill="1" applyBorder="1" applyAlignment="1">
      <alignment horizontal="center" vertical="center"/>
    </xf>
    <xf numFmtId="0" fontId="0" fillId="9" borderId="33" xfId="0" applyFill="1" applyBorder="1"/>
    <xf numFmtId="0" fontId="15" fillId="0" borderId="60" xfId="0" applyFont="1" applyBorder="1" applyAlignment="1">
      <alignment horizontal="center" vertical="center"/>
    </xf>
    <xf numFmtId="0" fontId="15" fillId="0" borderId="61" xfId="0" applyFont="1" applyBorder="1" applyAlignment="1">
      <alignment horizontal="center"/>
    </xf>
    <xf numFmtId="0" fontId="24" fillId="0" borderId="3" xfId="0" applyFont="1" applyBorder="1" applyAlignment="1">
      <alignment horizontal="center"/>
    </xf>
    <xf numFmtId="0" fontId="24" fillId="0" borderId="4" xfId="0" applyFont="1" applyBorder="1" applyAlignment="1">
      <alignment horizontal="center"/>
    </xf>
    <xf numFmtId="0" fontId="0" fillId="0" borderId="41" xfId="0" applyBorder="1"/>
    <xf numFmtId="0" fontId="19" fillId="0" borderId="62" xfId="0" applyFont="1" applyBorder="1" applyAlignment="1">
      <alignment horizontal="center" vertical="center"/>
    </xf>
    <xf numFmtId="0" fontId="0" fillId="9" borderId="63" xfId="0" applyFill="1" applyBorder="1" applyAlignment="1">
      <alignment horizontal="center"/>
    </xf>
    <xf numFmtId="2" fontId="0" fillId="9" borderId="64" xfId="0" applyNumberFormat="1" applyFill="1" applyBorder="1" applyAlignment="1">
      <alignment horizontal="center"/>
    </xf>
    <xf numFmtId="0" fontId="0" fillId="9" borderId="65" xfId="0" applyFill="1" applyBorder="1" applyAlignment="1">
      <alignment horizontal="center"/>
    </xf>
    <xf numFmtId="0" fontId="0" fillId="9" borderId="66" xfId="0" applyFill="1" applyBorder="1" applyAlignment="1">
      <alignment horizontal="center"/>
    </xf>
    <xf numFmtId="0" fontId="0" fillId="9" borderId="55" xfId="0" applyFill="1" applyBorder="1"/>
    <xf numFmtId="0" fontId="19" fillId="0" borderId="67" xfId="0" applyFont="1" applyBorder="1" applyAlignment="1">
      <alignment horizontal="center"/>
    </xf>
    <xf numFmtId="0" fontId="15" fillId="0" borderId="68" xfId="0" applyFont="1" applyBorder="1" applyAlignment="1">
      <alignment horizontal="center" vertical="center"/>
    </xf>
    <xf numFmtId="0" fontId="19" fillId="0" borderId="69" xfId="0" applyFont="1" applyBorder="1" applyAlignment="1">
      <alignment horizontal="center"/>
    </xf>
    <xf numFmtId="0" fontId="19" fillId="0" borderId="70" xfId="0" applyFont="1" applyBorder="1" applyAlignment="1">
      <alignment horizontal="center"/>
    </xf>
    <xf numFmtId="0" fontId="15" fillId="0" borderId="71" xfId="0" applyFont="1" applyBorder="1" applyAlignment="1">
      <alignment horizontal="center"/>
    </xf>
    <xf numFmtId="0" fontId="24" fillId="0" borderId="63" xfId="0" applyFont="1" applyBorder="1" applyAlignment="1">
      <alignment horizontal="center" vertical="center"/>
    </xf>
    <xf numFmtId="0" fontId="24" fillId="0" borderId="64" xfId="0" applyFont="1" applyBorder="1" applyAlignment="1">
      <alignment horizontal="center" vertical="center"/>
    </xf>
    <xf numFmtId="0" fontId="24" fillId="0" borderId="66" xfId="0" applyFont="1" applyBorder="1" applyAlignment="1">
      <alignment horizontal="center" vertical="center"/>
    </xf>
    <xf numFmtId="0" fontId="19" fillId="0" borderId="72" xfId="0" applyFont="1" applyBorder="1" applyAlignment="1">
      <alignment horizontal="center" vertical="center"/>
    </xf>
    <xf numFmtId="0" fontId="0" fillId="9" borderId="73" xfId="0" applyFill="1" applyBorder="1"/>
    <xf numFmtId="2" fontId="0" fillId="9" borderId="74" xfId="0" applyNumberFormat="1" applyFill="1" applyBorder="1" applyAlignment="1">
      <alignment horizontal="center"/>
    </xf>
    <xf numFmtId="0" fontId="0" fillId="9" borderId="75" xfId="0" applyFill="1" applyBorder="1" applyAlignment="1">
      <alignment horizontal="center"/>
    </xf>
    <xf numFmtId="0" fontId="0" fillId="9" borderId="76" xfId="0" applyFill="1" applyBorder="1" applyAlignment="1">
      <alignment horizontal="center"/>
    </xf>
    <xf numFmtId="0" fontId="15" fillId="0" borderId="62" xfId="0" applyFont="1" applyBorder="1" applyAlignment="1">
      <alignment horizontal="center"/>
    </xf>
    <xf numFmtId="0" fontId="19" fillId="0" borderId="77" xfId="0" applyFont="1" applyBorder="1" applyAlignment="1">
      <alignment horizontal="center"/>
    </xf>
    <xf numFmtId="0" fontId="19" fillId="0" borderId="78" xfId="0" applyFont="1" applyBorder="1" applyAlignment="1">
      <alignment horizontal="center"/>
    </xf>
    <xf numFmtId="0" fontId="1" fillId="0" borderId="79" xfId="0" applyFont="1" applyBorder="1" applyAlignment="1">
      <alignment horizontal="center" vertical="center"/>
    </xf>
    <xf numFmtId="0" fontId="15" fillId="0" borderId="80" xfId="0" applyFont="1" applyFill="1" applyBorder="1" applyAlignment="1">
      <alignment horizontal="center" vertical="center"/>
    </xf>
    <xf numFmtId="0" fontId="10" fillId="10" borderId="55" xfId="0" applyFont="1" applyFill="1" applyBorder="1" applyAlignment="1">
      <alignment horizontal="center" vertical="center"/>
    </xf>
    <xf numFmtId="0" fontId="0" fillId="10" borderId="81" xfId="0" applyFill="1" applyBorder="1"/>
    <xf numFmtId="2" fontId="0" fillId="10" borderId="82" xfId="0" applyNumberFormat="1" applyFill="1" applyBorder="1" applyAlignment="1">
      <alignment horizontal="center"/>
    </xf>
    <xf numFmtId="2" fontId="0" fillId="10" borderId="48" xfId="0" applyNumberFormat="1" applyFill="1" applyBorder="1" applyAlignment="1"/>
    <xf numFmtId="2" fontId="0" fillId="10" borderId="48" xfId="0" applyNumberFormat="1" applyFill="1" applyBorder="1" applyAlignment="1">
      <alignment horizontal="center"/>
    </xf>
    <xf numFmtId="0" fontId="0" fillId="10" borderId="83" xfId="0" applyFill="1" applyBorder="1" applyAlignment="1">
      <alignment horizontal="center"/>
    </xf>
    <xf numFmtId="0" fontId="0" fillId="10" borderId="84" xfId="0" applyFill="1" applyBorder="1" applyAlignment="1">
      <alignment horizontal="center"/>
    </xf>
    <xf numFmtId="0" fontId="0" fillId="10" borderId="55" xfId="0" applyFill="1" applyBorder="1"/>
    <xf numFmtId="0" fontId="0" fillId="10" borderId="45" xfId="0" applyFill="1" applyBorder="1"/>
    <xf numFmtId="0" fontId="0" fillId="10" borderId="58" xfId="0" applyFill="1" applyBorder="1"/>
    <xf numFmtId="0" fontId="25" fillId="0" borderId="61" xfId="0" applyFont="1" applyBorder="1" applyAlignment="1">
      <alignment horizontal="left"/>
    </xf>
    <xf numFmtId="0" fontId="24" fillId="0" borderId="62" xfId="0" applyFont="1" applyBorder="1"/>
    <xf numFmtId="0" fontId="24" fillId="0" borderId="85" xfId="0" applyFont="1" applyBorder="1" applyAlignment="1">
      <alignment horizontal="center" vertical="center"/>
    </xf>
    <xf numFmtId="0" fontId="24" fillId="0" borderId="86" xfId="0" applyFont="1" applyBorder="1" applyAlignment="1">
      <alignment horizontal="center" vertical="center"/>
    </xf>
    <xf numFmtId="0" fontId="24" fillId="0" borderId="87" xfId="0" applyFont="1" applyBorder="1" applyAlignment="1">
      <alignment horizontal="center" vertical="center"/>
    </xf>
    <xf numFmtId="0" fontId="1" fillId="0" borderId="72" xfId="0" applyFont="1" applyBorder="1" applyAlignment="1">
      <alignment horizontal="center" vertical="center"/>
    </xf>
    <xf numFmtId="0" fontId="15" fillId="0" borderId="88" xfId="0" applyFont="1" applyFill="1" applyBorder="1" applyAlignment="1">
      <alignment horizontal="center" vertical="center"/>
    </xf>
    <xf numFmtId="0" fontId="10" fillId="10" borderId="52" xfId="0" applyFont="1" applyFill="1" applyBorder="1" applyAlignment="1">
      <alignment horizontal="center" vertical="center"/>
    </xf>
    <xf numFmtId="0" fontId="0" fillId="10" borderId="90" xfId="0" applyFill="1" applyBorder="1"/>
    <xf numFmtId="2" fontId="0" fillId="10" borderId="86" xfId="0" applyNumberFormat="1" applyFill="1" applyBorder="1" applyAlignment="1">
      <alignment horizontal="center"/>
    </xf>
    <xf numFmtId="2" fontId="0" fillId="10" borderId="74" xfId="0" applyNumberFormat="1" applyFill="1" applyBorder="1" applyAlignment="1">
      <alignment horizontal="center"/>
    </xf>
    <xf numFmtId="0" fontId="0" fillId="10" borderId="75" xfId="0" applyFill="1" applyBorder="1" applyAlignment="1">
      <alignment horizontal="center"/>
    </xf>
    <xf numFmtId="0" fontId="0" fillId="10" borderId="76" xfId="0" applyFill="1" applyBorder="1" applyAlignment="1">
      <alignment horizontal="center"/>
    </xf>
    <xf numFmtId="0" fontId="19" fillId="0" borderId="91" xfId="0" applyFont="1" applyBorder="1" applyAlignment="1">
      <alignment horizontal="center"/>
    </xf>
    <xf numFmtId="0" fontId="19" fillId="0" borderId="92" xfId="0" applyFont="1" applyBorder="1" applyAlignment="1">
      <alignment horizontal="center"/>
    </xf>
    <xf numFmtId="168" fontId="19" fillId="0" borderId="93" xfId="0" applyNumberFormat="1" applyFont="1" applyBorder="1" applyAlignment="1">
      <alignment horizontal="center"/>
    </xf>
    <xf numFmtId="0" fontId="25" fillId="0" borderId="71" xfId="0" applyFont="1" applyBorder="1" applyAlignment="1">
      <alignment horizontal="left"/>
    </xf>
    <xf numFmtId="0" fontId="24" fillId="0" borderId="71" xfId="0" applyFont="1" applyBorder="1"/>
    <xf numFmtId="0" fontId="0" fillId="0" borderId="94" xfId="0" applyBorder="1"/>
    <xf numFmtId="0" fontId="1" fillId="0" borderId="71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0" fillId="9" borderId="95" xfId="0" applyFill="1" applyBorder="1"/>
    <xf numFmtId="2" fontId="0" fillId="9" borderId="86" xfId="0" applyNumberFormat="1" applyFill="1" applyBorder="1" applyAlignment="1">
      <alignment horizontal="center"/>
    </xf>
    <xf numFmtId="0" fontId="0" fillId="9" borderId="96" xfId="0" applyFill="1" applyBorder="1" applyAlignment="1">
      <alignment horizontal="center"/>
    </xf>
    <xf numFmtId="0" fontId="0" fillId="9" borderId="87" xfId="0" applyFill="1" applyBorder="1" applyAlignment="1">
      <alignment horizontal="center"/>
    </xf>
    <xf numFmtId="0" fontId="19" fillId="0" borderId="32" xfId="0" applyFont="1" applyBorder="1" applyAlignment="1">
      <alignment horizontal="center"/>
    </xf>
    <xf numFmtId="0" fontId="19" fillId="0" borderId="43" xfId="0" applyFont="1" applyBorder="1" applyAlignment="1">
      <alignment horizontal="center"/>
    </xf>
    <xf numFmtId="0" fontId="25" fillId="0" borderId="52" xfId="0" applyFont="1" applyBorder="1" applyAlignment="1">
      <alignment horizontal="left"/>
    </xf>
    <xf numFmtId="0" fontId="24" fillId="0" borderId="97" xfId="0" applyFont="1" applyBorder="1"/>
    <xf numFmtId="0" fontId="19" fillId="0" borderId="52" xfId="0" applyFont="1" applyBorder="1" applyAlignment="1">
      <alignment vertical="center"/>
    </xf>
    <xf numFmtId="0" fontId="19" fillId="0" borderId="93" xfId="0" applyFont="1" applyBorder="1" applyAlignment="1">
      <alignment horizontal="center"/>
    </xf>
    <xf numFmtId="0" fontId="26" fillId="0" borderId="2" xfId="0" applyFont="1" applyBorder="1" applyAlignment="1">
      <alignment horizontal="center"/>
    </xf>
    <xf numFmtId="0" fontId="15" fillId="0" borderId="16" xfId="0" applyFont="1" applyBorder="1"/>
    <xf numFmtId="0" fontId="24" fillId="0" borderId="98" xfId="0" applyFont="1" applyBorder="1" applyAlignment="1">
      <alignment horizontal="center" vertical="center"/>
    </xf>
    <xf numFmtId="0" fontId="24" fillId="0" borderId="99" xfId="0" applyFont="1" applyBorder="1" applyAlignment="1">
      <alignment horizontal="center" vertical="center"/>
    </xf>
    <xf numFmtId="0" fontId="24" fillId="0" borderId="100" xfId="0" applyFont="1" applyBorder="1" applyAlignment="1">
      <alignment horizontal="center" vertical="center"/>
    </xf>
    <xf numFmtId="0" fontId="10" fillId="11" borderId="45" xfId="0" applyFont="1" applyFill="1" applyBorder="1" applyAlignment="1">
      <alignment horizontal="center"/>
    </xf>
    <xf numFmtId="0" fontId="0" fillId="11" borderId="46" xfId="0" applyFill="1" applyBorder="1"/>
    <xf numFmtId="2" fontId="0" fillId="11" borderId="57" xfId="0" applyNumberFormat="1" applyFill="1" applyBorder="1" applyAlignment="1">
      <alignment horizontal="center"/>
    </xf>
    <xf numFmtId="2" fontId="0" fillId="11" borderId="48" xfId="0" applyNumberFormat="1" applyFill="1" applyBorder="1" applyAlignment="1"/>
    <xf numFmtId="2" fontId="0" fillId="11" borderId="48" xfId="0" applyNumberFormat="1" applyFill="1" applyBorder="1" applyAlignment="1">
      <alignment horizontal="center"/>
    </xf>
    <xf numFmtId="0" fontId="0" fillId="11" borderId="50" xfId="0" applyFill="1" applyBorder="1" applyAlignment="1">
      <alignment horizontal="center"/>
    </xf>
    <xf numFmtId="0" fontId="0" fillId="11" borderId="51" xfId="0" applyFill="1" applyBorder="1" applyAlignment="1">
      <alignment horizontal="center"/>
    </xf>
    <xf numFmtId="0" fontId="0" fillId="11" borderId="55" xfId="0" applyFill="1" applyBorder="1"/>
    <xf numFmtId="0" fontId="0" fillId="11" borderId="45" xfId="0" applyFill="1" applyBorder="1"/>
    <xf numFmtId="0" fontId="0" fillId="11" borderId="58" xfId="0" applyFill="1" applyBorder="1"/>
    <xf numFmtId="0" fontId="15" fillId="0" borderId="97" xfId="0" applyFont="1" applyBorder="1" applyAlignment="1">
      <alignment horizontal="center"/>
    </xf>
    <xf numFmtId="0" fontId="24" fillId="0" borderId="101" xfId="0" applyFont="1" applyBorder="1" applyAlignment="1">
      <alignment horizontal="center" vertical="center"/>
    </xf>
    <xf numFmtId="0" fontId="15" fillId="0" borderId="79" xfId="0" applyFont="1" applyBorder="1" applyAlignment="1">
      <alignment horizontal="center" vertical="center"/>
    </xf>
    <xf numFmtId="0" fontId="15" fillId="0" borderId="55" xfId="0" applyFont="1" applyBorder="1" applyAlignment="1">
      <alignment vertical="center"/>
    </xf>
    <xf numFmtId="0" fontId="19" fillId="0" borderId="55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/>
    </xf>
    <xf numFmtId="0" fontId="19" fillId="0" borderId="102" xfId="0" applyFont="1" applyBorder="1" applyAlignment="1">
      <alignment horizontal="center"/>
    </xf>
    <xf numFmtId="0" fontId="19" fillId="0" borderId="44" xfId="0" applyFont="1" applyBorder="1" applyAlignment="1">
      <alignment horizontal="center"/>
    </xf>
    <xf numFmtId="0" fontId="15" fillId="0" borderId="33" xfId="0" applyFont="1" applyBorder="1"/>
    <xf numFmtId="0" fontId="0" fillId="0" borderId="103" xfId="0" applyBorder="1"/>
    <xf numFmtId="0" fontId="0" fillId="0" borderId="104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04" xfId="0" applyBorder="1"/>
    <xf numFmtId="0" fontId="0" fillId="0" borderId="105" xfId="0" applyBorder="1"/>
    <xf numFmtId="0" fontId="15" fillId="6" borderId="62" xfId="0" applyFont="1" applyFill="1" applyBorder="1" applyAlignment="1">
      <alignment horizontal="center" vertical="center"/>
    </xf>
    <xf numFmtId="0" fontId="15" fillId="0" borderId="33" xfId="0" applyFont="1" applyBorder="1" applyAlignment="1">
      <alignment vertical="center"/>
    </xf>
    <xf numFmtId="0" fontId="10" fillId="10" borderId="33" xfId="0" applyFont="1" applyFill="1" applyBorder="1" applyAlignment="1">
      <alignment horizontal="center" vertical="center"/>
    </xf>
    <xf numFmtId="0" fontId="0" fillId="10" borderId="63" xfId="0" applyFill="1" applyBorder="1"/>
    <xf numFmtId="0" fontId="15" fillId="0" borderId="60" xfId="0" applyFont="1" applyBorder="1" applyAlignment="1">
      <alignment horizontal="center"/>
    </xf>
    <xf numFmtId="0" fontId="24" fillId="0" borderId="60" xfId="0" applyFont="1" applyBorder="1" applyAlignment="1">
      <alignment horizontal="center"/>
    </xf>
    <xf numFmtId="0" fontId="15" fillId="0" borderId="4" xfId="0" applyFont="1" applyBorder="1"/>
    <xf numFmtId="0" fontId="0" fillId="0" borderId="4" xfId="0" applyBorder="1"/>
    <xf numFmtId="0" fontId="15" fillId="0" borderId="71" xfId="0" applyFont="1" applyBorder="1" applyAlignment="1">
      <alignment horizontal="center" vertical="center"/>
    </xf>
    <xf numFmtId="0" fontId="15" fillId="0" borderId="62" xfId="0" applyFont="1" applyBorder="1" applyAlignment="1">
      <alignment vertical="center"/>
    </xf>
    <xf numFmtId="0" fontId="0" fillId="10" borderId="95" xfId="0" applyFill="1" applyBorder="1"/>
    <xf numFmtId="0" fontId="0" fillId="10" borderId="96" xfId="0" applyFill="1" applyBorder="1" applyAlignment="1">
      <alignment horizontal="center"/>
    </xf>
    <xf numFmtId="0" fontId="0" fillId="10" borderId="87" xfId="0" applyFill="1" applyBorder="1" applyAlignment="1">
      <alignment horizontal="center"/>
    </xf>
    <xf numFmtId="0" fontId="15" fillId="0" borderId="72" xfId="0" applyFont="1" applyBorder="1" applyAlignment="1">
      <alignment horizontal="center" vertical="center"/>
    </xf>
    <xf numFmtId="0" fontId="19" fillId="0" borderId="86" xfId="0" applyFont="1" applyBorder="1"/>
    <xf numFmtId="0" fontId="19" fillId="0" borderId="86" xfId="0" applyFont="1" applyBorder="1" applyAlignment="1">
      <alignment horizontal="left" indent="1"/>
    </xf>
    <xf numFmtId="0" fontId="19" fillId="0" borderId="55" xfId="0" applyFont="1" applyBorder="1" applyAlignment="1">
      <alignment vertical="center"/>
    </xf>
    <xf numFmtId="0" fontId="10" fillId="11" borderId="55" xfId="0" applyFont="1" applyFill="1" applyBorder="1" applyAlignment="1">
      <alignment horizontal="center" vertical="center"/>
    </xf>
    <xf numFmtId="0" fontId="0" fillId="11" borderId="81" xfId="0" applyFill="1" applyBorder="1"/>
    <xf numFmtId="2" fontId="0" fillId="11" borderId="82" xfId="0" applyNumberFormat="1" applyFill="1" applyBorder="1" applyAlignment="1">
      <alignment horizontal="center"/>
    </xf>
    <xf numFmtId="2" fontId="0" fillId="12" borderId="48" xfId="0" applyNumberFormat="1" applyFill="1" applyBorder="1" applyAlignment="1"/>
    <xf numFmtId="2" fontId="0" fillId="12" borderId="48" xfId="0" applyNumberFormat="1" applyFill="1" applyBorder="1" applyAlignment="1">
      <alignment horizontal="center"/>
    </xf>
    <xf numFmtId="2" fontId="0" fillId="12" borderId="82" xfId="0" applyNumberFormat="1" applyFill="1" applyBorder="1" applyAlignment="1">
      <alignment horizontal="center"/>
    </xf>
    <xf numFmtId="0" fontId="0" fillId="12" borderId="83" xfId="0" applyFill="1" applyBorder="1" applyAlignment="1">
      <alignment horizontal="center"/>
    </xf>
    <xf numFmtId="0" fontId="0" fillId="12" borderId="84" xfId="0" applyFill="1" applyBorder="1" applyAlignment="1">
      <alignment horizontal="center"/>
    </xf>
    <xf numFmtId="0" fontId="0" fillId="12" borderId="37" xfId="0" applyFill="1" applyBorder="1"/>
    <xf numFmtId="0" fontId="0" fillId="11" borderId="11" xfId="0" applyFill="1" applyBorder="1"/>
    <xf numFmtId="0" fontId="0" fillId="11" borderId="7" xfId="0" applyFill="1" applyBorder="1"/>
    <xf numFmtId="0" fontId="19" fillId="0" borderId="33" xfId="0" applyFont="1" applyBorder="1" applyAlignment="1">
      <alignment vertical="center"/>
    </xf>
    <xf numFmtId="0" fontId="10" fillId="11" borderId="33" xfId="0" applyFont="1" applyFill="1" applyBorder="1" applyAlignment="1">
      <alignment horizontal="center" vertical="center"/>
    </xf>
    <xf numFmtId="0" fontId="0" fillId="11" borderId="63" xfId="0" applyFill="1" applyBorder="1"/>
    <xf numFmtId="0" fontId="0" fillId="0" borderId="106" xfId="0" applyBorder="1"/>
    <xf numFmtId="0" fontId="19" fillId="0" borderId="62" xfId="0" applyFont="1" applyBorder="1" applyAlignment="1">
      <alignment vertical="center"/>
    </xf>
    <xf numFmtId="0" fontId="0" fillId="11" borderId="95" xfId="0" applyFill="1" applyBorder="1"/>
    <xf numFmtId="2" fontId="0" fillId="11" borderId="86" xfId="0" applyNumberFormat="1" applyFill="1" applyBorder="1" applyAlignment="1">
      <alignment horizontal="center"/>
    </xf>
    <xf numFmtId="0" fontId="0" fillId="11" borderId="96" xfId="0" applyFill="1" applyBorder="1" applyAlignment="1">
      <alignment horizontal="center"/>
    </xf>
    <xf numFmtId="0" fontId="0" fillId="11" borderId="87" xfId="0" applyFill="1" applyBorder="1" applyAlignment="1">
      <alignment horizontal="center"/>
    </xf>
    <xf numFmtId="0" fontId="19" fillId="0" borderId="0" xfId="0" applyFont="1" applyBorder="1"/>
    <xf numFmtId="0" fontId="19" fillId="0" borderId="0" xfId="0" applyFont="1" applyBorder="1" applyAlignment="1">
      <alignment horizontal="left" indent="1"/>
    </xf>
    <xf numFmtId="0" fontId="24" fillId="0" borderId="72" xfId="0" applyFont="1" applyBorder="1" applyAlignment="1">
      <alignment horizontal="center" vertical="center"/>
    </xf>
    <xf numFmtId="0" fontId="10" fillId="11" borderId="52" xfId="0" applyFont="1" applyFill="1" applyBorder="1" applyAlignment="1">
      <alignment horizontal="center" vertical="center"/>
    </xf>
    <xf numFmtId="0" fontId="0" fillId="11" borderId="73" xfId="0" applyFill="1" applyBorder="1"/>
    <xf numFmtId="2" fontId="0" fillId="11" borderId="74" xfId="0" applyNumberFormat="1" applyFill="1" applyBorder="1" applyAlignment="1">
      <alignment horizontal="center"/>
    </xf>
    <xf numFmtId="0" fontId="0" fillId="11" borderId="75" xfId="0" applyFill="1" applyBorder="1" applyAlignment="1">
      <alignment horizontal="center"/>
    </xf>
    <xf numFmtId="0" fontId="0" fillId="11" borderId="76" xfId="0" applyFill="1" applyBorder="1" applyAlignment="1">
      <alignment horizontal="center"/>
    </xf>
    <xf numFmtId="0" fontId="15" fillId="0" borderId="52" xfId="0" applyFont="1" applyBorder="1" applyAlignment="1">
      <alignment horizontal="center" vertical="center"/>
    </xf>
    <xf numFmtId="0" fontId="10" fillId="11" borderId="52" xfId="0" applyFont="1" applyFill="1" applyBorder="1" applyAlignment="1">
      <alignment horizontal="center"/>
    </xf>
    <xf numFmtId="0" fontId="15" fillId="0" borderId="6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0" fillId="8" borderId="33" xfId="0" applyFont="1" applyFill="1" applyBorder="1" applyAlignment="1">
      <alignment horizontal="center"/>
    </xf>
    <xf numFmtId="0" fontId="0" fillId="8" borderId="107" xfId="0" applyFill="1" applyBorder="1"/>
    <xf numFmtId="2" fontId="0" fillId="8" borderId="108" xfId="0" applyNumberFormat="1" applyFill="1" applyBorder="1" applyAlignment="1">
      <alignment horizontal="center"/>
    </xf>
    <xf numFmtId="0" fontId="0" fillId="8" borderId="109" xfId="0" applyFill="1" applyBorder="1" applyAlignment="1">
      <alignment horizontal="center"/>
    </xf>
    <xf numFmtId="0" fontId="0" fillId="8" borderId="110" xfId="0" applyFill="1" applyBorder="1" applyAlignment="1">
      <alignment horizontal="center"/>
    </xf>
    <xf numFmtId="0" fontId="15" fillId="13" borderId="37" xfId="0" applyFont="1" applyFill="1" applyBorder="1" applyAlignment="1">
      <alignment horizontal="center" vertical="center"/>
    </xf>
    <xf numFmtId="0" fontId="15" fillId="13" borderId="60" xfId="0" applyFont="1" applyFill="1" applyBorder="1" applyAlignment="1">
      <alignment horizontal="center" vertical="center"/>
    </xf>
    <xf numFmtId="0" fontId="19" fillId="13" borderId="60" xfId="0" applyFont="1" applyFill="1" applyBorder="1" applyAlignment="1">
      <alignment horizontal="center" vertical="center"/>
    </xf>
    <xf numFmtId="0" fontId="10" fillId="13" borderId="60" xfId="0" applyFont="1" applyFill="1" applyBorder="1" applyAlignment="1">
      <alignment horizontal="center"/>
    </xf>
    <xf numFmtId="0" fontId="0" fillId="13" borderId="111" xfId="0" applyFill="1" applyBorder="1"/>
    <xf numFmtId="2" fontId="0" fillId="13" borderId="112" xfId="0" applyNumberFormat="1" applyFill="1" applyBorder="1" applyAlignment="1">
      <alignment horizontal="center"/>
    </xf>
    <xf numFmtId="2" fontId="0" fillId="13" borderId="113" xfId="0" applyNumberFormat="1" applyFill="1" applyBorder="1" applyAlignment="1">
      <alignment horizontal="center"/>
    </xf>
    <xf numFmtId="2" fontId="0" fillId="13" borderId="48" xfId="0" applyNumberFormat="1" applyFill="1" applyBorder="1" applyAlignment="1"/>
    <xf numFmtId="2" fontId="0" fillId="13" borderId="48" xfId="0" applyNumberFormat="1" applyFill="1" applyBorder="1" applyAlignment="1">
      <alignment horizontal="center"/>
    </xf>
    <xf numFmtId="0" fontId="0" fillId="13" borderId="113" xfId="0" applyFill="1" applyBorder="1" applyAlignment="1">
      <alignment horizontal="center"/>
    </xf>
    <xf numFmtId="0" fontId="0" fillId="13" borderId="114" xfId="0" applyFill="1" applyBorder="1" applyAlignment="1">
      <alignment horizontal="center"/>
    </xf>
    <xf numFmtId="0" fontId="0" fillId="13" borderId="2" xfId="0" applyFill="1" applyBorder="1"/>
    <xf numFmtId="0" fontId="0" fillId="13" borderId="44" xfId="0" applyFill="1" applyBorder="1"/>
    <xf numFmtId="2" fontId="24" fillId="0" borderId="60" xfId="0" applyNumberFormat="1" applyFont="1" applyBorder="1" applyAlignment="1">
      <alignment horizontal="center" vertical="center"/>
    </xf>
    <xf numFmtId="2" fontId="24" fillId="0" borderId="20" xfId="0" applyNumberFormat="1" applyFont="1" applyBorder="1" applyAlignment="1">
      <alignment horizontal="center" vertical="center"/>
    </xf>
    <xf numFmtId="0" fontId="0" fillId="0" borderId="33" xfId="0" applyBorder="1"/>
    <xf numFmtId="0" fontId="0" fillId="0" borderId="60" xfId="0" applyBorder="1"/>
    <xf numFmtId="0" fontId="0" fillId="0" borderId="20" xfId="0" applyBorder="1"/>
    <xf numFmtId="0" fontId="2" fillId="0" borderId="8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7" fontId="0" fillId="0" borderId="0" xfId="0" applyNumberFormat="1"/>
    <xf numFmtId="0" fontId="0" fillId="0" borderId="8" xfId="0" applyBorder="1"/>
    <xf numFmtId="0" fontId="24" fillId="0" borderId="0" xfId="0" applyFont="1" applyBorder="1" applyAlignment="1">
      <alignment horizontal="center"/>
    </xf>
    <xf numFmtId="0" fontId="24" fillId="0" borderId="115" xfId="0" applyFont="1" applyBorder="1"/>
    <xf numFmtId="0" fontId="2" fillId="0" borderId="116" xfId="0" applyFont="1" applyBorder="1" applyAlignment="1">
      <alignment horizontal="center"/>
    </xf>
    <xf numFmtId="0" fontId="24" fillId="0" borderId="82" xfId="0" applyFont="1" applyBorder="1"/>
    <xf numFmtId="0" fontId="24" fillId="14" borderId="82" xfId="0" applyFont="1" applyFill="1" applyBorder="1"/>
    <xf numFmtId="0" fontId="24" fillId="0" borderId="82" xfId="0" applyFont="1" applyFill="1" applyBorder="1"/>
    <xf numFmtId="0" fontId="24" fillId="0" borderId="83" xfId="0" applyFont="1" applyBorder="1"/>
    <xf numFmtId="0" fontId="24" fillId="0" borderId="63" xfId="0" applyFont="1" applyBorder="1"/>
    <xf numFmtId="0" fontId="24" fillId="14" borderId="64" xfId="0" applyFont="1" applyFill="1" applyBorder="1"/>
    <xf numFmtId="0" fontId="24" fillId="0" borderId="64" xfId="0" applyFont="1" applyBorder="1"/>
    <xf numFmtId="0" fontId="24" fillId="0" borderId="64" xfId="0" applyFont="1" applyFill="1" applyBorder="1"/>
    <xf numFmtId="0" fontId="24" fillId="0" borderId="65" xfId="0" applyFont="1" applyBorder="1"/>
    <xf numFmtId="0" fontId="24" fillId="0" borderId="118" xfId="0" applyFont="1" applyBorder="1"/>
    <xf numFmtId="0" fontId="2" fillId="0" borderId="78" xfId="0" applyFont="1" applyBorder="1" applyAlignment="1">
      <alignment horizontal="center"/>
    </xf>
    <xf numFmtId="0" fontId="24" fillId="0" borderId="85" xfId="0" applyFont="1" applyBorder="1"/>
    <xf numFmtId="0" fontId="24" fillId="0" borderId="86" xfId="0" applyFont="1" applyBorder="1"/>
    <xf numFmtId="0" fontId="24" fillId="14" borderId="86" xfId="0" applyFont="1" applyFill="1" applyBorder="1"/>
    <xf numFmtId="0" fontId="24" fillId="0" borderId="86" xfId="0" applyFont="1" applyFill="1" applyBorder="1"/>
    <xf numFmtId="0" fontId="24" fillId="0" borderId="96" xfId="0" applyFont="1" applyBorder="1"/>
    <xf numFmtId="0" fontId="24" fillId="0" borderId="119" xfId="0" applyFont="1" applyBorder="1"/>
    <xf numFmtId="0" fontId="4" fillId="0" borderId="0" xfId="0" applyFont="1" applyBorder="1"/>
    <xf numFmtId="0" fontId="0" fillId="15" borderId="0" xfId="0" applyFill="1" applyBorder="1"/>
    <xf numFmtId="0" fontId="2" fillId="0" borderId="25" xfId="0" applyFont="1" applyBorder="1" applyAlignment="1">
      <alignment horizontal="center"/>
    </xf>
    <xf numFmtId="0" fontId="24" fillId="0" borderId="120" xfId="0" applyFont="1" applyBorder="1"/>
    <xf numFmtId="0" fontId="24" fillId="6" borderId="86" xfId="0" applyFont="1" applyFill="1" applyBorder="1"/>
    <xf numFmtId="0" fontId="24" fillId="0" borderId="107" xfId="0" applyFont="1" applyBorder="1"/>
    <xf numFmtId="0" fontId="24" fillId="0" borderId="108" xfId="0" applyFont="1" applyBorder="1"/>
    <xf numFmtId="0" fontId="24" fillId="14" borderId="108" xfId="0" applyFont="1" applyFill="1" applyBorder="1"/>
    <xf numFmtId="0" fontId="24" fillId="0" borderId="109" xfId="0" applyFont="1" applyBorder="1"/>
    <xf numFmtId="0" fontId="24" fillId="0" borderId="121" xfId="0" applyFont="1" applyBorder="1"/>
    <xf numFmtId="0" fontId="24" fillId="0" borderId="59" xfId="0" applyFont="1" applyBorder="1"/>
    <xf numFmtId="0" fontId="24" fillId="0" borderId="57" xfId="0" applyFont="1" applyBorder="1"/>
    <xf numFmtId="0" fontId="24" fillId="0" borderId="50" xfId="0" applyFont="1" applyBorder="1"/>
    <xf numFmtId="0" fontId="24" fillId="0" borderId="123" xfId="0" applyFont="1" applyBorder="1"/>
    <xf numFmtId="0" fontId="30" fillId="0" borderId="0" xfId="0" applyFont="1" applyBorder="1" applyAlignment="1">
      <alignment horizontal="center" vertical="center" textRotation="90"/>
    </xf>
    <xf numFmtId="0" fontId="2" fillId="0" borderId="124" xfId="0" applyFont="1" applyBorder="1" applyAlignment="1">
      <alignment horizontal="center"/>
    </xf>
    <xf numFmtId="0" fontId="24" fillId="0" borderId="124" xfId="0" applyFont="1" applyBorder="1"/>
    <xf numFmtId="0" fontId="30" fillId="0" borderId="124" xfId="0" applyFont="1" applyBorder="1" applyAlignment="1">
      <alignment horizontal="center" vertical="center" textRotation="90"/>
    </xf>
    <xf numFmtId="0" fontId="2" fillId="13" borderId="125" xfId="0" applyFont="1" applyFill="1" applyBorder="1" applyAlignment="1">
      <alignment horizontal="center"/>
    </xf>
    <xf numFmtId="0" fontId="24" fillId="13" borderId="81" xfId="0" applyFont="1" applyFill="1" applyBorder="1"/>
    <xf numFmtId="0" fontId="24" fillId="13" borderId="82" xfId="0" applyFont="1" applyFill="1" applyBorder="1"/>
    <xf numFmtId="0" fontId="24" fillId="13" borderId="83" xfId="0" applyFont="1" applyFill="1" applyBorder="1"/>
    <xf numFmtId="0" fontId="24" fillId="13" borderId="115" xfId="0" applyFont="1" applyFill="1" applyBorder="1"/>
    <xf numFmtId="0" fontId="0" fillId="13" borderId="0" xfId="0" applyFill="1"/>
    <xf numFmtId="0" fontId="2" fillId="13" borderId="116" xfId="0" applyFont="1" applyFill="1" applyBorder="1" applyAlignment="1">
      <alignment horizontal="center"/>
    </xf>
    <xf numFmtId="0" fontId="24" fillId="13" borderId="63" xfId="0" applyFont="1" applyFill="1" applyBorder="1"/>
    <xf numFmtId="0" fontId="24" fillId="13" borderId="64" xfId="0" applyFont="1" applyFill="1" applyBorder="1"/>
    <xf numFmtId="0" fontId="24" fillId="13" borderId="65" xfId="0" applyFont="1" applyFill="1" applyBorder="1"/>
    <xf numFmtId="0" fontId="24" fillId="13" borderId="118" xfId="0" applyFont="1" applyFill="1" applyBorder="1"/>
    <xf numFmtId="0" fontId="2" fillId="13" borderId="78" xfId="0" applyFont="1" applyFill="1" applyBorder="1" applyAlignment="1">
      <alignment horizontal="center"/>
    </xf>
    <xf numFmtId="0" fontId="24" fillId="13" borderId="85" xfId="0" applyFont="1" applyFill="1" applyBorder="1"/>
    <xf numFmtId="0" fontId="24" fillId="13" borderId="86" xfId="0" applyFont="1" applyFill="1" applyBorder="1"/>
    <xf numFmtId="0" fontId="24" fillId="13" borderId="96" xfId="0" applyFont="1" applyFill="1" applyBorder="1"/>
    <xf numFmtId="0" fontId="24" fillId="13" borderId="119" xfId="0" applyFont="1" applyFill="1" applyBorder="1"/>
    <xf numFmtId="0" fontId="2" fillId="13" borderId="25" xfId="0" applyFont="1" applyFill="1" applyBorder="1" applyAlignment="1">
      <alignment horizontal="center"/>
    </xf>
    <xf numFmtId="0" fontId="24" fillId="13" borderId="98" xfId="0" applyFont="1" applyFill="1" applyBorder="1"/>
    <xf numFmtId="0" fontId="24" fillId="13" borderId="99" xfId="0" applyFont="1" applyFill="1" applyBorder="1"/>
    <xf numFmtId="0" fontId="24" fillId="13" borderId="126" xfId="0" applyFont="1" applyFill="1" applyBorder="1"/>
    <xf numFmtId="0" fontId="24" fillId="13" borderId="127" xfId="0" applyFont="1" applyFill="1" applyBorder="1"/>
    <xf numFmtId="0" fontId="24" fillId="13" borderId="107" xfId="0" applyFont="1" applyFill="1" applyBorder="1"/>
    <xf numFmtId="0" fontId="24" fillId="13" borderId="108" xfId="0" applyFont="1" applyFill="1" applyBorder="1"/>
    <xf numFmtId="0" fontId="24" fillId="13" borderId="109" xfId="0" applyFont="1" applyFill="1" applyBorder="1"/>
    <xf numFmtId="0" fontId="24" fillId="13" borderId="121" xfId="0" applyFont="1" applyFill="1" applyBorder="1"/>
    <xf numFmtId="0" fontId="2" fillId="13" borderId="8" xfId="0" applyFont="1" applyFill="1" applyBorder="1" applyAlignment="1">
      <alignment horizontal="center"/>
    </xf>
    <xf numFmtId="0" fontId="24" fillId="13" borderId="128" xfId="0" applyFont="1" applyFill="1" applyBorder="1"/>
    <xf numFmtId="0" fontId="24" fillId="13" borderId="57" xfId="0" applyFont="1" applyFill="1" applyBorder="1"/>
    <xf numFmtId="0" fontId="24" fillId="13" borderId="50" xfId="0" applyFont="1" applyFill="1" applyBorder="1"/>
    <xf numFmtId="0" fontId="24" fillId="13" borderId="123" xfId="0" applyFont="1" applyFill="1" applyBorder="1"/>
    <xf numFmtId="0" fontId="0" fillId="13" borderId="0" xfId="0" applyFill="1" applyBorder="1"/>
    <xf numFmtId="0" fontId="2" fillId="13" borderId="0" xfId="0" applyFont="1" applyFill="1" applyBorder="1" applyAlignment="1">
      <alignment horizontal="center"/>
    </xf>
    <xf numFmtId="0" fontId="24" fillId="13" borderId="0" xfId="0" applyFont="1" applyFill="1" applyBorder="1"/>
    <xf numFmtId="0" fontId="0" fillId="13" borderId="32" xfId="0" applyFill="1" applyBorder="1"/>
    <xf numFmtId="0" fontId="1" fillId="13" borderId="8" xfId="0" applyFont="1" applyFill="1" applyBorder="1"/>
    <xf numFmtId="0" fontId="24" fillId="13" borderId="129" xfId="0" applyFont="1" applyFill="1" applyBorder="1"/>
    <xf numFmtId="2" fontId="0" fillId="0" borderId="0" xfId="0" applyNumberFormat="1"/>
    <xf numFmtId="0" fontId="14" fillId="0" borderId="0" xfId="0" applyFont="1" applyAlignment="1">
      <alignment horizontal="center" vertical="center"/>
    </xf>
    <xf numFmtId="0" fontId="0" fillId="0" borderId="19" xfId="0" applyBorder="1"/>
    <xf numFmtId="0" fontId="2" fillId="0" borderId="35" xfId="0" applyFont="1" applyBorder="1" applyAlignment="1">
      <alignment horizontal="center"/>
    </xf>
    <xf numFmtId="0" fontId="2" fillId="0" borderId="133" xfId="0" applyFont="1" applyBorder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2" fontId="2" fillId="0" borderId="37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2" fillId="0" borderId="61" xfId="0" applyFont="1" applyBorder="1" applyAlignment="1">
      <alignment horizontal="center"/>
    </xf>
    <xf numFmtId="2" fontId="24" fillId="6" borderId="134" xfId="0" applyNumberFormat="1" applyFont="1" applyFill="1" applyBorder="1" applyAlignment="1">
      <alignment horizontal="center"/>
    </xf>
    <xf numFmtId="2" fontId="24" fillId="6" borderId="135" xfId="0" applyNumberFormat="1" applyFont="1" applyFill="1" applyBorder="1" applyAlignment="1">
      <alignment horizontal="center"/>
    </xf>
    <xf numFmtId="2" fontId="24" fillId="6" borderId="136" xfId="0" applyNumberFormat="1" applyFont="1" applyFill="1" applyBorder="1" applyAlignment="1">
      <alignment horizontal="center"/>
    </xf>
    <xf numFmtId="2" fontId="24" fillId="10" borderId="134" xfId="0" applyNumberFormat="1" applyFont="1" applyFill="1" applyBorder="1" applyAlignment="1">
      <alignment horizontal="center"/>
    </xf>
    <xf numFmtId="2" fontId="24" fillId="10" borderId="135" xfId="0" applyNumberFormat="1" applyFont="1" applyFill="1" applyBorder="1" applyAlignment="1">
      <alignment horizontal="center"/>
    </xf>
    <xf numFmtId="2" fontId="24" fillId="10" borderId="137" xfId="0" applyNumberFormat="1" applyFont="1" applyFill="1" applyBorder="1" applyAlignment="1">
      <alignment horizontal="center"/>
    </xf>
    <xf numFmtId="2" fontId="24" fillId="0" borderId="138" xfId="0" applyNumberFormat="1" applyFont="1" applyBorder="1" applyAlignment="1">
      <alignment horizontal="center"/>
    </xf>
    <xf numFmtId="2" fontId="24" fillId="0" borderId="135" xfId="0" applyNumberFormat="1" applyFont="1" applyBorder="1" applyAlignment="1">
      <alignment horizontal="center"/>
    </xf>
    <xf numFmtId="2" fontId="24" fillId="0" borderId="137" xfId="0" applyNumberFormat="1" applyFont="1" applyBorder="1" applyAlignment="1">
      <alignment horizontal="center"/>
    </xf>
    <xf numFmtId="2" fontId="24" fillId="0" borderId="139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62" xfId="0" applyFont="1" applyBorder="1" applyAlignment="1">
      <alignment horizontal="center"/>
    </xf>
    <xf numFmtId="2" fontId="24" fillId="6" borderId="140" xfId="0" applyNumberFormat="1" applyFont="1" applyFill="1" applyBorder="1" applyAlignment="1">
      <alignment horizontal="center"/>
    </xf>
    <xf numFmtId="2" fontId="24" fillId="6" borderId="64" xfId="0" applyNumberFormat="1" applyFont="1" applyFill="1" applyBorder="1" applyAlignment="1">
      <alignment horizontal="center"/>
    </xf>
    <xf numFmtId="0" fontId="24" fillId="6" borderId="64" xfId="0" applyFont="1" applyFill="1" applyBorder="1" applyAlignment="1">
      <alignment horizontal="center"/>
    </xf>
    <xf numFmtId="0" fontId="24" fillId="6" borderId="106" xfId="0" applyFont="1" applyFill="1" applyBorder="1" applyAlignment="1">
      <alignment horizontal="center"/>
    </xf>
    <xf numFmtId="2" fontId="24" fillId="10" borderId="140" xfId="0" applyNumberFormat="1" applyFont="1" applyFill="1" applyBorder="1" applyAlignment="1">
      <alignment horizontal="center"/>
    </xf>
    <xf numFmtId="2" fontId="24" fillId="10" borderId="64" xfId="0" applyNumberFormat="1" applyFont="1" applyFill="1" applyBorder="1" applyAlignment="1">
      <alignment horizontal="center"/>
    </xf>
    <xf numFmtId="2" fontId="24" fillId="10" borderId="66" xfId="0" applyNumberFormat="1" applyFont="1" applyFill="1" applyBorder="1" applyAlignment="1">
      <alignment horizontal="center"/>
    </xf>
    <xf numFmtId="2" fontId="24" fillId="0" borderId="63" xfId="0" applyNumberFormat="1" applyFont="1" applyBorder="1" applyAlignment="1">
      <alignment horizontal="center"/>
    </xf>
    <xf numFmtId="2" fontId="24" fillId="0" borderId="64" xfId="0" applyNumberFormat="1" applyFont="1" applyBorder="1" applyAlignment="1">
      <alignment horizontal="center"/>
    </xf>
    <xf numFmtId="2" fontId="24" fillId="0" borderId="66" xfId="0" applyNumberFormat="1" applyFont="1" applyBorder="1" applyAlignment="1">
      <alignment horizontal="center"/>
    </xf>
    <xf numFmtId="2" fontId="24" fillId="0" borderId="65" xfId="0" applyNumberFormat="1" applyFont="1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2" fillId="0" borderId="71" xfId="0" applyFont="1" applyBorder="1" applyAlignment="1">
      <alignment horizontal="center"/>
    </xf>
    <xf numFmtId="2" fontId="24" fillId="0" borderId="95" xfId="0" applyNumberFormat="1" applyFont="1" applyBorder="1" applyAlignment="1">
      <alignment horizontal="center"/>
    </xf>
    <xf numFmtId="2" fontId="24" fillId="0" borderId="86" xfId="0" applyNumberFormat="1" applyFont="1" applyBorder="1" applyAlignment="1">
      <alignment horizontal="center"/>
    </xf>
    <xf numFmtId="0" fontId="24" fillId="0" borderId="86" xfId="0" applyFont="1" applyBorder="1" applyAlignment="1">
      <alignment horizontal="center"/>
    </xf>
    <xf numFmtId="0" fontId="24" fillId="0" borderId="141" xfId="0" applyFont="1" applyBorder="1" applyAlignment="1">
      <alignment horizontal="center"/>
    </xf>
    <xf numFmtId="2" fontId="24" fillId="0" borderId="87" xfId="0" applyNumberFormat="1" applyFont="1" applyBorder="1" applyAlignment="1">
      <alignment horizontal="center"/>
    </xf>
    <xf numFmtId="2" fontId="24" fillId="9" borderId="85" xfId="0" applyNumberFormat="1" applyFont="1" applyFill="1" applyBorder="1" applyAlignment="1">
      <alignment horizontal="center"/>
    </xf>
    <xf numFmtId="2" fontId="24" fillId="9" borderId="86" xfId="0" applyNumberFormat="1" applyFont="1" applyFill="1" applyBorder="1" applyAlignment="1">
      <alignment horizontal="center"/>
    </xf>
    <xf numFmtId="2" fontId="24" fillId="9" borderId="87" xfId="0" applyNumberFormat="1" applyFont="1" applyFill="1" applyBorder="1" applyAlignment="1">
      <alignment horizontal="center"/>
    </xf>
    <xf numFmtId="2" fontId="24" fillId="0" borderId="85" xfId="0" applyNumberFormat="1" applyFont="1" applyBorder="1" applyAlignment="1">
      <alignment horizontal="center"/>
    </xf>
    <xf numFmtId="2" fontId="24" fillId="0" borderId="96" xfId="0" applyNumberFormat="1" applyFont="1" applyBorder="1" applyAlignment="1">
      <alignment horizontal="center"/>
    </xf>
    <xf numFmtId="0" fontId="24" fillId="0" borderId="95" xfId="0" applyFont="1" applyBorder="1" applyAlignment="1">
      <alignment horizontal="center"/>
    </xf>
    <xf numFmtId="0" fontId="24" fillId="0" borderId="85" xfId="0" applyFont="1" applyBorder="1" applyAlignment="1">
      <alignment horizontal="center"/>
    </xf>
    <xf numFmtId="0" fontId="24" fillId="0" borderId="87" xfId="0" applyFont="1" applyBorder="1" applyAlignment="1">
      <alignment horizontal="center"/>
    </xf>
    <xf numFmtId="0" fontId="24" fillId="17" borderId="85" xfId="0" applyFont="1" applyFill="1" applyBorder="1" applyAlignment="1">
      <alignment horizontal="center"/>
    </xf>
    <xf numFmtId="2" fontId="24" fillId="17" borderId="86" xfId="0" applyNumberFormat="1" applyFont="1" applyFill="1" applyBorder="1" applyAlignment="1">
      <alignment horizontal="center"/>
    </xf>
    <xf numFmtId="0" fontId="24" fillId="17" borderId="96" xfId="0" applyFont="1" applyFill="1" applyBorder="1" applyAlignment="1">
      <alignment horizontal="center"/>
    </xf>
    <xf numFmtId="0" fontId="2" fillId="0" borderId="97" xfId="0" applyFont="1" applyBorder="1" applyAlignment="1">
      <alignment horizontal="center"/>
    </xf>
    <xf numFmtId="0" fontId="24" fillId="0" borderId="142" xfId="0" applyFont="1" applyBorder="1" applyAlignment="1">
      <alignment horizontal="center"/>
    </xf>
    <xf numFmtId="0" fontId="24" fillId="0" borderId="99" xfId="0" applyFont="1" applyBorder="1" applyAlignment="1">
      <alignment horizontal="center"/>
    </xf>
    <xf numFmtId="0" fontId="24" fillId="0" borderId="143" xfId="0" applyFont="1" applyBorder="1" applyAlignment="1">
      <alignment horizontal="center"/>
    </xf>
    <xf numFmtId="2" fontId="24" fillId="0" borderId="142" xfId="0" applyNumberFormat="1" applyFont="1" applyBorder="1" applyAlignment="1">
      <alignment horizontal="center"/>
    </xf>
    <xf numFmtId="2" fontId="24" fillId="0" borderId="99" xfId="0" applyNumberFormat="1" applyFont="1" applyBorder="1" applyAlignment="1">
      <alignment horizontal="center"/>
    </xf>
    <xf numFmtId="2" fontId="24" fillId="0" borderId="100" xfId="0" applyNumberFormat="1" applyFont="1" applyBorder="1" applyAlignment="1">
      <alignment horizontal="center"/>
    </xf>
    <xf numFmtId="2" fontId="24" fillId="9" borderId="98" xfId="0" applyNumberFormat="1" applyFont="1" applyFill="1" applyBorder="1" applyAlignment="1">
      <alignment horizontal="center"/>
    </xf>
    <xf numFmtId="2" fontId="24" fillId="9" borderId="99" xfId="0" applyNumberFormat="1" applyFont="1" applyFill="1" applyBorder="1" applyAlignment="1">
      <alignment horizontal="center"/>
    </xf>
    <xf numFmtId="2" fontId="24" fillId="9" borderId="100" xfId="0" applyNumberFormat="1" applyFont="1" applyFill="1" applyBorder="1" applyAlignment="1">
      <alignment horizontal="center"/>
    </xf>
    <xf numFmtId="2" fontId="24" fillId="17" borderId="98" xfId="0" applyNumberFormat="1" applyFont="1" applyFill="1" applyBorder="1" applyAlignment="1">
      <alignment horizontal="center"/>
    </xf>
    <xf numFmtId="2" fontId="24" fillId="17" borderId="99" xfId="0" applyNumberFormat="1" applyFont="1" applyFill="1" applyBorder="1" applyAlignment="1">
      <alignment horizontal="center"/>
    </xf>
    <xf numFmtId="2" fontId="24" fillId="17" borderId="126" xfId="0" applyNumberFormat="1" applyFont="1" applyFill="1" applyBorder="1" applyAlignment="1">
      <alignment horizontal="center"/>
    </xf>
    <xf numFmtId="2" fontId="24" fillId="10" borderId="142" xfId="0" applyNumberFormat="1" applyFont="1" applyFill="1" applyBorder="1" applyAlignment="1">
      <alignment horizontal="center"/>
    </xf>
    <xf numFmtId="2" fontId="24" fillId="10" borderId="99" xfId="0" applyNumberFormat="1" applyFont="1" applyFill="1" applyBorder="1" applyAlignment="1">
      <alignment horizontal="center"/>
    </xf>
    <xf numFmtId="2" fontId="24" fillId="10" borderId="100" xfId="0" applyNumberFormat="1" applyFont="1" applyFill="1" applyBorder="1" applyAlignment="1">
      <alignment horizontal="center"/>
    </xf>
    <xf numFmtId="0" fontId="24" fillId="9" borderId="98" xfId="0" applyFont="1" applyFill="1" applyBorder="1" applyAlignment="1">
      <alignment horizontal="center"/>
    </xf>
    <xf numFmtId="0" fontId="24" fillId="9" borderId="99" xfId="0" applyFont="1" applyFill="1" applyBorder="1" applyAlignment="1">
      <alignment horizontal="center"/>
    </xf>
    <xf numFmtId="0" fontId="24" fillId="9" borderId="100" xfId="0" applyFont="1" applyFill="1" applyBorder="1" applyAlignment="1">
      <alignment horizontal="center"/>
    </xf>
    <xf numFmtId="0" fontId="24" fillId="17" borderId="99" xfId="0" applyFont="1" applyFill="1" applyBorder="1" applyAlignment="1">
      <alignment horizontal="center"/>
    </xf>
    <xf numFmtId="0" fontId="24" fillId="17" borderId="126" xfId="0" applyFont="1" applyFill="1" applyBorder="1" applyAlignment="1">
      <alignment horizontal="center"/>
    </xf>
    <xf numFmtId="0" fontId="2" fillId="0" borderId="33" xfId="0" applyFont="1" applyBorder="1" applyAlignment="1">
      <alignment horizontal="center"/>
    </xf>
    <xf numFmtId="2" fontId="24" fillId="15" borderId="37" xfId="0" applyNumberFormat="1" applyFont="1" applyFill="1" applyBorder="1" applyAlignment="1">
      <alignment horizontal="center"/>
    </xf>
    <xf numFmtId="2" fontId="24" fillId="15" borderId="0" xfId="0" applyNumberFormat="1" applyFont="1" applyFill="1" applyBorder="1" applyAlignment="1">
      <alignment horizontal="center"/>
    </xf>
    <xf numFmtId="0" fontId="24" fillId="15" borderId="0" xfId="0" applyFont="1" applyFill="1" applyBorder="1" applyAlignment="1">
      <alignment horizontal="center"/>
    </xf>
    <xf numFmtId="2" fontId="24" fillId="0" borderId="37" xfId="0" applyNumberFormat="1" applyFont="1" applyFill="1" applyBorder="1" applyAlignment="1">
      <alignment horizontal="center"/>
    </xf>
    <xf numFmtId="2" fontId="24" fillId="0" borderId="0" xfId="0" applyNumberFormat="1" applyFont="1" applyFill="1" applyBorder="1" applyAlignment="1">
      <alignment horizontal="center"/>
    </xf>
    <xf numFmtId="2" fontId="24" fillId="0" borderId="43" xfId="0" applyNumberFormat="1" applyFont="1" applyFill="1" applyBorder="1" applyAlignment="1">
      <alignment horizontal="center"/>
    </xf>
    <xf numFmtId="0" fontId="24" fillId="0" borderId="43" xfId="0" applyFont="1" applyBorder="1" applyAlignment="1">
      <alignment horizontal="center"/>
    </xf>
    <xf numFmtId="0" fontId="2" fillId="0" borderId="60" xfId="0" applyFont="1" applyBorder="1"/>
    <xf numFmtId="2" fontId="24" fillId="0" borderId="38" xfId="0" applyNumberFormat="1" applyFont="1" applyBorder="1" applyAlignment="1">
      <alignment horizontal="center"/>
    </xf>
    <xf numFmtId="2" fontId="24" fillId="0" borderId="28" xfId="0" applyNumberFormat="1" applyFont="1" applyBorder="1" applyAlignment="1">
      <alignment horizontal="center"/>
    </xf>
    <xf numFmtId="2" fontId="24" fillId="13" borderId="30" xfId="0" applyNumberFormat="1" applyFont="1" applyFill="1" applyBorder="1" applyAlignment="1">
      <alignment horizontal="center"/>
    </xf>
    <xf numFmtId="2" fontId="0" fillId="13" borderId="31" xfId="0" applyNumberFormat="1" applyFill="1" applyBorder="1" applyAlignment="1">
      <alignment horizontal="center"/>
    </xf>
    <xf numFmtId="0" fontId="0" fillId="13" borderId="31" xfId="0" applyFill="1" applyBorder="1" applyAlignment="1">
      <alignment horizontal="center"/>
    </xf>
    <xf numFmtId="0" fontId="0" fillId="13" borderId="42" xfId="0" applyFill="1" applyBorder="1" applyAlignment="1">
      <alignment horizontal="center"/>
    </xf>
    <xf numFmtId="2" fontId="24" fillId="0" borderId="38" xfId="0" applyNumberFormat="1" applyFont="1" applyFill="1" applyBorder="1" applyAlignment="1">
      <alignment horizontal="center"/>
    </xf>
    <xf numFmtId="2" fontId="24" fillId="0" borderId="40" xfId="0" applyNumberFormat="1" applyFont="1" applyFill="1" applyBorder="1" applyAlignment="1">
      <alignment horizontal="center"/>
    </xf>
    <xf numFmtId="2" fontId="24" fillId="0" borderId="39" xfId="0" applyNumberFormat="1" applyFont="1" applyFill="1" applyBorder="1" applyAlignment="1">
      <alignment horizontal="center"/>
    </xf>
    <xf numFmtId="0" fontId="0" fillId="0" borderId="2" xfId="0" applyBorder="1"/>
    <xf numFmtId="0" fontId="2" fillId="0" borderId="102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2" fontId="0" fillId="0" borderId="140" xfId="0" applyNumberFormat="1" applyBorder="1" applyAlignment="1">
      <alignment horizontal="center"/>
    </xf>
    <xf numFmtId="2" fontId="0" fillId="0" borderId="64" xfId="0" applyNumberFormat="1" applyBorder="1" applyAlignment="1">
      <alignment horizontal="center"/>
    </xf>
    <xf numFmtId="2" fontId="0" fillId="0" borderId="66" xfId="0" applyNumberFormat="1" applyBorder="1" applyAlignment="1">
      <alignment horizontal="center"/>
    </xf>
    <xf numFmtId="2" fontId="0" fillId="0" borderId="62" xfId="0" applyNumberFormat="1" applyBorder="1" applyAlignment="1">
      <alignment horizontal="center"/>
    </xf>
    <xf numFmtId="2" fontId="0" fillId="0" borderId="95" xfId="0" applyNumberFormat="1" applyBorder="1" applyAlignment="1">
      <alignment horizontal="center"/>
    </xf>
    <xf numFmtId="2" fontId="0" fillId="0" borderId="86" xfId="0" applyNumberFormat="1" applyBorder="1" applyAlignment="1">
      <alignment horizontal="center"/>
    </xf>
    <xf numFmtId="2" fontId="0" fillId="0" borderId="87" xfId="0" applyNumberFormat="1" applyBorder="1" applyAlignment="1">
      <alignment horizontal="center"/>
    </xf>
    <xf numFmtId="2" fontId="0" fillId="0" borderId="142" xfId="0" applyNumberFormat="1" applyBorder="1" applyAlignment="1">
      <alignment horizontal="center"/>
    </xf>
    <xf numFmtId="2" fontId="0" fillId="0" borderId="99" xfId="0" applyNumberFormat="1" applyBorder="1" applyAlignment="1">
      <alignment horizontal="center"/>
    </xf>
    <xf numFmtId="2" fontId="0" fillId="0" borderId="100" xfId="0" applyNumberFormat="1" applyBorder="1" applyAlignment="1">
      <alignment horizontal="center"/>
    </xf>
    <xf numFmtId="2" fontId="0" fillId="0" borderId="38" xfId="0" applyNumberFormat="1" applyBorder="1" applyAlignment="1">
      <alignment horizontal="center"/>
    </xf>
    <xf numFmtId="2" fontId="0" fillId="0" borderId="40" xfId="0" applyNumberFormat="1" applyBorder="1" applyAlignment="1">
      <alignment horizontal="center"/>
    </xf>
    <xf numFmtId="2" fontId="0" fillId="0" borderId="39" xfId="0" applyNumberFormat="1" applyBorder="1" applyAlignment="1">
      <alignment horizontal="center"/>
    </xf>
    <xf numFmtId="10" fontId="11" fillId="0" borderId="0" xfId="1" applyNumberFormat="1" applyFont="1" applyFill="1" applyBorder="1" applyAlignment="1">
      <alignment vertical="center"/>
    </xf>
    <xf numFmtId="3" fontId="2" fillId="3" borderId="34" xfId="0" applyNumberFormat="1" applyFont="1" applyFill="1" applyBorder="1" applyAlignment="1">
      <alignment horizontal="center" vertical="center" wrapText="1"/>
    </xf>
    <xf numFmtId="0" fontId="24" fillId="18" borderId="64" xfId="0" applyFont="1" applyFill="1" applyBorder="1" applyAlignment="1">
      <alignment horizontal="center" vertical="center"/>
    </xf>
    <xf numFmtId="0" fontId="24" fillId="18" borderId="117" xfId="0" applyFont="1" applyFill="1" applyBorder="1"/>
    <xf numFmtId="0" fontId="24" fillId="18" borderId="64" xfId="0" applyFont="1" applyFill="1" applyBorder="1"/>
    <xf numFmtId="3" fontId="4" fillId="0" borderId="8" xfId="0" applyNumberFormat="1" applyFont="1" applyFill="1" applyBorder="1" applyAlignment="1">
      <alignment horizontal="center" vertical="center"/>
    </xf>
    <xf numFmtId="3" fontId="4" fillId="4" borderId="8" xfId="0" applyNumberFormat="1" applyFont="1" applyFill="1" applyBorder="1" applyAlignment="1">
      <alignment horizontal="center" vertical="center"/>
    </xf>
    <xf numFmtId="4" fontId="4" fillId="0" borderId="8" xfId="0" applyNumberFormat="1" applyFont="1" applyFill="1" applyBorder="1" applyAlignment="1">
      <alignment horizontal="center" vertical="center"/>
    </xf>
    <xf numFmtId="3" fontId="9" fillId="0" borderId="38" xfId="0" applyNumberFormat="1" applyFont="1" applyFill="1" applyBorder="1" applyAlignment="1">
      <alignment horizontal="center" vertical="center"/>
    </xf>
    <xf numFmtId="4" fontId="9" fillId="0" borderId="40" xfId="0" applyNumberFormat="1" applyFont="1" applyFill="1" applyBorder="1" applyAlignment="1">
      <alignment horizontal="center" vertical="center"/>
    </xf>
    <xf numFmtId="164" fontId="9" fillId="0" borderId="40" xfId="1" applyNumberFormat="1" applyFont="1" applyFill="1" applyBorder="1" applyAlignment="1">
      <alignment vertical="center"/>
    </xf>
    <xf numFmtId="3" fontId="9" fillId="0" borderId="40" xfId="0" applyNumberFormat="1" applyFont="1" applyFill="1" applyBorder="1" applyAlignment="1">
      <alignment horizontal="center" vertical="center"/>
    </xf>
    <xf numFmtId="164" fontId="9" fillId="0" borderId="39" xfId="1" applyNumberFormat="1" applyFont="1" applyFill="1" applyBorder="1" applyAlignment="1">
      <alignment vertical="center"/>
    </xf>
    <xf numFmtId="3" fontId="5" fillId="0" borderId="25" xfId="0" applyNumberFormat="1" applyFont="1" applyFill="1" applyBorder="1" applyAlignment="1">
      <alignment horizontal="center" vertical="center"/>
    </xf>
    <xf numFmtId="164" fontId="2" fillId="3" borderId="60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164" fontId="2" fillId="3" borderId="39" xfId="0" applyNumberFormat="1" applyFont="1" applyFill="1" applyBorder="1" applyAlignment="1">
      <alignment horizontal="center" vertical="center" wrapText="1"/>
    </xf>
    <xf numFmtId="164" fontId="5" fillId="0" borderId="11" xfId="1" applyNumberFormat="1" applyFont="1" applyFill="1" applyBorder="1" applyAlignment="1">
      <alignment vertical="center"/>
    </xf>
    <xf numFmtId="164" fontId="5" fillId="0" borderId="23" xfId="1" applyNumberFormat="1" applyFont="1" applyFill="1" applyBorder="1" applyAlignment="1">
      <alignment vertical="center"/>
    </xf>
    <xf numFmtId="164" fontId="5" fillId="0" borderId="146" xfId="1" applyNumberFormat="1" applyFont="1" applyFill="1" applyBorder="1" applyAlignment="1">
      <alignment vertical="center"/>
    </xf>
    <xf numFmtId="164" fontId="5" fillId="15" borderId="42" xfId="1" applyNumberFormat="1" applyFont="1" applyFill="1" applyBorder="1" applyAlignment="1">
      <alignment vertical="center"/>
    </xf>
    <xf numFmtId="3" fontId="0" fillId="0" borderId="144" xfId="0" applyNumberFormat="1" applyFill="1" applyBorder="1" applyAlignment="1">
      <alignment horizontal="center" vertical="center"/>
    </xf>
    <xf numFmtId="3" fontId="9" fillId="0" borderId="147" xfId="0" applyNumberFormat="1" applyFont="1" applyFill="1" applyBorder="1" applyAlignment="1">
      <alignment horizontal="center" vertical="center"/>
    </xf>
    <xf numFmtId="3" fontId="4" fillId="0" borderId="144" xfId="0" applyNumberFormat="1" applyFont="1" applyFill="1" applyBorder="1" applyAlignment="1">
      <alignment horizontal="center" vertical="center"/>
    </xf>
    <xf numFmtId="164" fontId="34" fillId="0" borderId="39" xfId="1" applyNumberFormat="1" applyFont="1" applyFill="1" applyBorder="1" applyAlignment="1">
      <alignment vertical="center"/>
    </xf>
    <xf numFmtId="164" fontId="5" fillId="0" borderId="42" xfId="1" applyNumberFormat="1" applyFont="1" applyFill="1" applyBorder="1" applyAlignment="1">
      <alignment vertical="center"/>
    </xf>
    <xf numFmtId="3" fontId="4" fillId="15" borderId="36" xfId="0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vertical="center"/>
    </xf>
    <xf numFmtId="0" fontId="5" fillId="0" borderId="45" xfId="0" applyFont="1" applyFill="1" applyBorder="1" applyAlignment="1">
      <alignment vertical="center"/>
    </xf>
    <xf numFmtId="0" fontId="4" fillId="0" borderId="45" xfId="0" applyFont="1" applyFill="1" applyBorder="1" applyAlignment="1">
      <alignment vertical="center"/>
    </xf>
    <xf numFmtId="3" fontId="5" fillId="0" borderId="27" xfId="1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45" xfId="0" applyFont="1" applyFill="1" applyBorder="1" applyAlignment="1">
      <alignment horizontal="center" vertical="center"/>
    </xf>
    <xf numFmtId="3" fontId="4" fillId="0" borderId="24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2" fontId="9" fillId="0" borderId="145" xfId="0" applyNumberFormat="1" applyFont="1" applyFill="1" applyBorder="1" applyAlignment="1">
      <alignment horizontal="center" vertical="center"/>
    </xf>
    <xf numFmtId="164" fontId="5" fillId="4" borderId="146" xfId="1" applyNumberFormat="1" applyFont="1" applyFill="1" applyBorder="1" applyAlignment="1">
      <alignment vertical="center"/>
    </xf>
    <xf numFmtId="164" fontId="5" fillId="0" borderId="26" xfId="1" applyNumberFormat="1" applyFont="1" applyFill="1" applyBorder="1" applyAlignment="1">
      <alignment vertical="center"/>
    </xf>
    <xf numFmtId="164" fontId="5" fillId="0" borderId="150" xfId="1" applyNumberFormat="1" applyFont="1" applyFill="1" applyBorder="1" applyAlignment="1">
      <alignment vertical="center"/>
    </xf>
    <xf numFmtId="4" fontId="35" fillId="3" borderId="1" xfId="0" applyNumberFormat="1" applyFont="1" applyFill="1" applyBorder="1" applyAlignment="1">
      <alignment horizontal="center" vertical="center" wrapText="1"/>
    </xf>
    <xf numFmtId="4" fontId="35" fillId="3" borderId="145" xfId="0" applyNumberFormat="1" applyFont="1" applyFill="1" applyBorder="1" applyAlignment="1">
      <alignment horizontal="center" vertical="center" wrapText="1"/>
    </xf>
    <xf numFmtId="0" fontId="4" fillId="0" borderId="52" xfId="0" applyFont="1" applyFill="1" applyBorder="1" applyAlignment="1">
      <alignment vertical="center"/>
    </xf>
    <xf numFmtId="3" fontId="4" fillId="4" borderId="144" xfId="0" applyNumberFormat="1" applyFont="1" applyFill="1" applyBorder="1" applyAlignment="1">
      <alignment horizontal="center" vertical="center"/>
    </xf>
    <xf numFmtId="3" fontId="4" fillId="4" borderId="31" xfId="0" applyNumberFormat="1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vertical="center"/>
    </xf>
    <xf numFmtId="0" fontId="4" fillId="0" borderId="146" xfId="0" applyFont="1" applyFill="1" applyBorder="1" applyAlignment="1">
      <alignment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vertical="center"/>
    </xf>
    <xf numFmtId="0" fontId="4" fillId="0" borderId="16" xfId="3" applyFont="1" applyFill="1" applyBorder="1" applyAlignment="1">
      <alignment vertical="center"/>
    </xf>
    <xf numFmtId="0" fontId="4" fillId="0" borderId="4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3" fontId="4" fillId="0" borderId="36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3" fontId="4" fillId="0" borderId="27" xfId="0" applyNumberFormat="1" applyFont="1" applyFill="1" applyBorder="1" applyAlignment="1">
      <alignment horizontal="center" vertical="center"/>
    </xf>
    <xf numFmtId="164" fontId="4" fillId="0" borderId="146" xfId="1" applyNumberFormat="1" applyFont="1" applyFill="1" applyBorder="1" applyAlignment="1">
      <alignment vertical="center"/>
    </xf>
    <xf numFmtId="0" fontId="4" fillId="0" borderId="52" xfId="0" applyFont="1" applyFill="1" applyBorder="1" applyAlignment="1">
      <alignment horizontal="center" vertical="center"/>
    </xf>
    <xf numFmtId="164" fontId="4" fillId="4" borderId="146" xfId="1" applyNumberFormat="1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48" xfId="0" applyFont="1" applyFill="1" applyBorder="1" applyAlignment="1">
      <alignment horizontal="center" vertical="center"/>
    </xf>
    <xf numFmtId="0" fontId="4" fillId="0" borderId="58" xfId="0" applyFont="1" applyFill="1" applyBorder="1" applyAlignment="1">
      <alignment horizontal="center" vertical="center"/>
    </xf>
    <xf numFmtId="164" fontId="4" fillId="0" borderId="11" xfId="1" applyNumberFormat="1" applyFont="1" applyFill="1" applyBorder="1" applyAlignment="1">
      <alignment vertical="center"/>
    </xf>
    <xf numFmtId="0" fontId="4" fillId="0" borderId="45" xfId="2" applyFont="1" applyFill="1" applyBorder="1" applyAlignment="1">
      <alignment vertical="center"/>
    </xf>
    <xf numFmtId="0" fontId="4" fillId="0" borderId="58" xfId="2" applyFont="1" applyFill="1" applyBorder="1" applyAlignment="1">
      <alignment horizontal="center" vertical="center"/>
    </xf>
    <xf numFmtId="3" fontId="4" fillId="0" borderId="7" xfId="2" applyNumberFormat="1" applyFont="1" applyFill="1" applyBorder="1" applyAlignment="1">
      <alignment horizontal="center" vertical="center"/>
    </xf>
    <xf numFmtId="0" fontId="4" fillId="0" borderId="149" xfId="3" applyFont="1" applyFill="1" applyBorder="1" applyAlignment="1">
      <alignment horizontal="center" vertical="center"/>
    </xf>
    <xf numFmtId="3" fontId="4" fillId="0" borderId="24" xfId="3" applyNumberFormat="1" applyFont="1" applyFill="1" applyBorder="1" applyAlignment="1">
      <alignment horizontal="center" vertical="center"/>
    </xf>
    <xf numFmtId="164" fontId="4" fillId="0" borderId="23" xfId="1" applyNumberFormat="1" applyFont="1" applyFill="1" applyBorder="1" applyAlignment="1">
      <alignment vertical="center"/>
    </xf>
    <xf numFmtId="0" fontId="4" fillId="0" borderId="58" xfId="0" applyFont="1" applyBorder="1" applyAlignment="1">
      <alignment horizontal="center" vertical="center"/>
    </xf>
    <xf numFmtId="0" fontId="4" fillId="0" borderId="151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164" fontId="4" fillId="0" borderId="22" xfId="1" applyNumberFormat="1" applyFont="1" applyFill="1" applyBorder="1" applyAlignment="1">
      <alignment vertical="center"/>
    </xf>
    <xf numFmtId="4" fontId="4" fillId="4" borderId="12" xfId="0" applyNumberFormat="1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horizontal="center" vertical="center"/>
    </xf>
    <xf numFmtId="164" fontId="4" fillId="4" borderId="26" xfId="1" applyNumberFormat="1" applyFont="1" applyFill="1" applyBorder="1" applyAlignment="1">
      <alignment vertical="center"/>
    </xf>
    <xf numFmtId="164" fontId="4" fillId="0" borderId="42" xfId="1" applyNumberFormat="1" applyFont="1" applyFill="1" applyBorder="1" applyAlignment="1">
      <alignment vertical="center"/>
    </xf>
    <xf numFmtId="4" fontId="4" fillId="4" borderId="31" xfId="0" applyNumberFormat="1" applyFont="1" applyFill="1" applyBorder="1" applyAlignment="1">
      <alignment horizontal="center" vertical="center"/>
    </xf>
    <xf numFmtId="164" fontId="4" fillId="4" borderId="11" xfId="1" applyNumberFormat="1" applyFont="1" applyFill="1" applyBorder="1" applyAlignment="1">
      <alignment vertical="center"/>
    </xf>
    <xf numFmtId="4" fontId="4" fillId="0" borderId="12" xfId="0" applyNumberFormat="1" applyFont="1" applyFill="1" applyBorder="1" applyAlignment="1">
      <alignment horizontal="center" vertical="center"/>
    </xf>
    <xf numFmtId="3" fontId="1" fillId="0" borderId="147" xfId="0" applyNumberFormat="1" applyFont="1" applyFill="1" applyBorder="1" applyAlignment="1">
      <alignment horizontal="center" vertical="center"/>
    </xf>
    <xf numFmtId="164" fontId="4" fillId="4" borderId="6" xfId="1" applyNumberFormat="1" applyFont="1" applyFill="1" applyBorder="1" applyAlignment="1">
      <alignment vertical="center"/>
    </xf>
    <xf numFmtId="4" fontId="4" fillId="4" borderId="31" xfId="0" applyNumberFormat="1" applyFont="1" applyFill="1" applyBorder="1" applyAlignment="1">
      <alignment vertical="center"/>
    </xf>
    <xf numFmtId="164" fontId="4" fillId="4" borderId="31" xfId="1" applyNumberFormat="1" applyFont="1" applyFill="1" applyBorder="1" applyAlignment="1">
      <alignment vertical="center"/>
    </xf>
    <xf numFmtId="164" fontId="4" fillId="4" borderId="8" xfId="1" applyNumberFormat="1" applyFont="1" applyFill="1" applyBorder="1" applyAlignment="1">
      <alignment vertical="center"/>
    </xf>
    <xf numFmtId="3" fontId="4" fillId="0" borderId="122" xfId="0" applyNumberFormat="1" applyFont="1" applyFill="1" applyBorder="1" applyAlignment="1">
      <alignment horizontal="center" vertical="center"/>
    </xf>
    <xf numFmtId="3" fontId="4" fillId="4" borderId="31" xfId="0" applyNumberFormat="1" applyFont="1" applyFill="1" applyBorder="1" applyAlignment="1">
      <alignment vertical="center"/>
    </xf>
    <xf numFmtId="164" fontId="37" fillId="0" borderId="39" xfId="1" applyNumberFormat="1" applyFont="1" applyFill="1" applyBorder="1" applyAlignment="1">
      <alignment vertical="center"/>
    </xf>
    <xf numFmtId="3" fontId="5" fillId="0" borderId="4" xfId="0" applyNumberFormat="1" applyFont="1" applyFill="1" applyBorder="1" applyAlignment="1">
      <alignment horizontal="center" vertical="center"/>
    </xf>
    <xf numFmtId="3" fontId="4" fillId="4" borderId="5" xfId="0" applyNumberFormat="1" applyFont="1" applyFill="1" applyBorder="1" applyAlignment="1">
      <alignment horizontal="center" vertical="center"/>
    </xf>
    <xf numFmtId="3" fontId="4" fillId="15" borderId="13" xfId="0" applyNumberFormat="1" applyFont="1" applyFill="1" applyBorder="1" applyAlignment="1">
      <alignment horizontal="center" vertical="center"/>
    </xf>
    <xf numFmtId="4" fontId="4" fillId="15" borderId="29" xfId="0" applyNumberFormat="1" applyFont="1" applyFill="1" applyBorder="1" applyAlignment="1">
      <alignment horizontal="center" vertical="center"/>
    </xf>
    <xf numFmtId="164" fontId="4" fillId="15" borderId="26" xfId="1" applyNumberFormat="1" applyFont="1" applyFill="1" applyBorder="1" applyAlignment="1">
      <alignment vertical="center"/>
    </xf>
    <xf numFmtId="164" fontId="5" fillId="15" borderId="23" xfId="1" applyNumberFormat="1" applyFont="1" applyFill="1" applyBorder="1" applyAlignment="1">
      <alignment vertical="center"/>
    </xf>
    <xf numFmtId="3" fontId="4" fillId="15" borderId="8" xfId="0" applyNumberFormat="1" applyFont="1" applyFill="1" applyBorder="1" applyAlignment="1">
      <alignment horizontal="center" vertical="center"/>
    </xf>
    <xf numFmtId="164" fontId="5" fillId="15" borderId="146" xfId="1" applyNumberFormat="1" applyFont="1" applyFill="1" applyBorder="1" applyAlignment="1">
      <alignment vertical="center"/>
    </xf>
    <xf numFmtId="3" fontId="4" fillId="15" borderId="31" xfId="0" applyNumberFormat="1" applyFont="1" applyFill="1" applyBorder="1" applyAlignment="1">
      <alignment horizontal="center" vertical="center"/>
    </xf>
    <xf numFmtId="10" fontId="8" fillId="15" borderId="0" xfId="0" applyNumberFormat="1" applyFont="1" applyFill="1" applyBorder="1" applyAlignment="1">
      <alignment horizontal="center" vertical="center"/>
    </xf>
    <xf numFmtId="0" fontId="0" fillId="15" borderId="0" xfId="0" applyFill="1" applyBorder="1" applyAlignment="1">
      <alignment vertical="center"/>
    </xf>
    <xf numFmtId="3" fontId="9" fillId="0" borderId="145" xfId="0" applyNumberFormat="1" applyFont="1" applyFill="1" applyBorder="1" applyAlignment="1">
      <alignment horizontal="center" vertical="center"/>
    </xf>
    <xf numFmtId="3" fontId="2" fillId="3" borderId="38" xfId="0" applyNumberFormat="1" applyFont="1" applyFill="1" applyBorder="1" applyAlignment="1">
      <alignment horizontal="center" vertical="center" wrapText="1"/>
    </xf>
    <xf numFmtId="3" fontId="2" fillId="3" borderId="40" xfId="0" applyNumberFormat="1" applyFont="1" applyFill="1" applyBorder="1" applyAlignment="1">
      <alignment horizontal="center" vertical="center" wrapText="1"/>
    </xf>
    <xf numFmtId="3" fontId="2" fillId="3" borderId="153" xfId="0" applyNumberFormat="1" applyFont="1" applyFill="1" applyBorder="1" applyAlignment="1">
      <alignment horizontal="center" vertical="center" wrapText="1"/>
    </xf>
    <xf numFmtId="4" fontId="5" fillId="0" borderId="6" xfId="1" applyNumberFormat="1" applyFont="1" applyFill="1" applyBorder="1" applyAlignment="1">
      <alignment horizontal="center" vertical="center"/>
    </xf>
    <xf numFmtId="4" fontId="5" fillId="0" borderId="152" xfId="1" applyNumberFormat="1" applyFont="1" applyFill="1" applyBorder="1" applyAlignment="1">
      <alignment horizontal="center" vertical="center"/>
    </xf>
    <xf numFmtId="4" fontId="5" fillId="0" borderId="40" xfId="0" applyNumberFormat="1" applyFont="1" applyFill="1" applyBorder="1" applyAlignment="1">
      <alignment horizontal="center" vertical="center"/>
    </xf>
    <xf numFmtId="4" fontId="4" fillId="0" borderId="152" xfId="0" applyNumberFormat="1" applyFont="1" applyFill="1" applyBorder="1" applyAlignment="1">
      <alignment horizontal="center" vertical="center"/>
    </xf>
    <xf numFmtId="4" fontId="4" fillId="4" borderId="152" xfId="0" applyNumberFormat="1" applyFont="1" applyFill="1" applyBorder="1" applyAlignment="1">
      <alignment horizontal="center" vertical="center"/>
    </xf>
    <xf numFmtId="4" fontId="4" fillId="0" borderId="7" xfId="0" applyNumberFormat="1" applyFont="1" applyFill="1" applyBorder="1" applyAlignment="1">
      <alignment horizontal="center" vertical="center"/>
    </xf>
    <xf numFmtId="4" fontId="4" fillId="0" borderId="17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4" fontId="4" fillId="4" borderId="27" xfId="0" applyNumberFormat="1" applyFont="1" applyFill="1" applyBorder="1" applyAlignment="1">
      <alignment horizontal="center" vertical="center"/>
    </xf>
    <xf numFmtId="4" fontId="4" fillId="0" borderId="152" xfId="2" applyNumberFormat="1" applyFont="1" applyFill="1" applyBorder="1" applyAlignment="1">
      <alignment horizontal="center" vertical="center"/>
    </xf>
    <xf numFmtId="4" fontId="4" fillId="0" borderId="17" xfId="3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4" fontId="4" fillId="0" borderId="129" xfId="0" applyNumberFormat="1" applyFont="1" applyFill="1" applyBorder="1" applyAlignment="1">
      <alignment horizontal="center" vertical="center"/>
    </xf>
    <xf numFmtId="4" fontId="0" fillId="0" borderId="152" xfId="0" applyNumberFormat="1" applyFill="1" applyBorder="1" applyAlignment="1">
      <alignment horizontal="center" vertical="center"/>
    </xf>
    <xf numFmtId="4" fontId="4" fillId="0" borderId="144" xfId="0" applyNumberFormat="1" applyFont="1" applyFill="1" applyBorder="1" applyAlignment="1">
      <alignment horizontal="center" vertical="center"/>
    </xf>
    <xf numFmtId="4" fontId="4" fillId="4" borderId="144" xfId="0" applyNumberFormat="1" applyFont="1" applyFill="1" applyBorder="1" applyAlignment="1">
      <alignment horizontal="center" vertical="center"/>
    </xf>
    <xf numFmtId="4" fontId="4" fillId="4" borderId="36" xfId="0" applyNumberFormat="1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horizontal="center" vertical="center"/>
    </xf>
    <xf numFmtId="4" fontId="4" fillId="15" borderId="0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4" fillId="4" borderId="6" xfId="0" applyNumberFormat="1" applyFont="1" applyFill="1" applyBorder="1" applyAlignment="1">
      <alignment horizontal="center" vertical="center"/>
    </xf>
    <xf numFmtId="4" fontId="4" fillId="0" borderId="27" xfId="0" applyNumberFormat="1" applyFont="1" applyFill="1" applyBorder="1" applyAlignment="1">
      <alignment horizontal="center" vertical="center"/>
    </xf>
    <xf numFmtId="4" fontId="4" fillId="15" borderId="13" xfId="0" applyNumberFormat="1" applyFont="1" applyFill="1" applyBorder="1" applyAlignment="1">
      <alignment horizontal="center" vertical="center"/>
    </xf>
    <xf numFmtId="4" fontId="4" fillId="15" borderId="9" xfId="0" applyNumberFormat="1" applyFont="1" applyFill="1" applyBorder="1" applyAlignment="1">
      <alignment horizontal="center" vertical="center"/>
    </xf>
    <xf numFmtId="4" fontId="4" fillId="15" borderId="21" xfId="0" applyNumberFormat="1" applyFont="1" applyFill="1" applyBorder="1" applyAlignment="1">
      <alignment horizontal="center" vertical="center"/>
    </xf>
    <xf numFmtId="4" fontId="4" fillId="0" borderId="122" xfId="0" applyNumberFormat="1" applyFont="1" applyFill="1" applyBorder="1" applyAlignment="1">
      <alignment horizontal="center" vertical="center"/>
    </xf>
    <xf numFmtId="4" fontId="4" fillId="0" borderId="13" xfId="0" applyNumberFormat="1" applyFont="1" applyFill="1" applyBorder="1" applyAlignment="1">
      <alignment horizontal="center" vertical="center"/>
    </xf>
    <xf numFmtId="0" fontId="0" fillId="0" borderId="37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" fillId="9" borderId="60" xfId="0" applyFont="1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3" fillId="15" borderId="0" xfId="0" applyFont="1" applyFill="1" applyBorder="1" applyAlignment="1">
      <alignment vertical="center"/>
    </xf>
    <xf numFmtId="164" fontId="33" fillId="15" borderId="0" xfId="0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4" fontId="0" fillId="0" borderId="0" xfId="0" applyNumberFormat="1" applyFill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11" fillId="3" borderId="1" xfId="0" applyFont="1" applyFill="1" applyBorder="1" applyAlignment="1">
      <alignment horizontal="right" vertical="center"/>
    </xf>
    <xf numFmtId="3" fontId="11" fillId="3" borderId="4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center" vertical="center"/>
    </xf>
    <xf numFmtId="164" fontId="11" fillId="0" borderId="20" xfId="1" applyNumberFormat="1" applyFont="1" applyFill="1" applyBorder="1" applyAlignment="1">
      <alignment vertical="center"/>
    </xf>
    <xf numFmtId="3" fontId="11" fillId="0" borderId="1" xfId="0" applyNumberFormat="1" applyFont="1" applyFill="1" applyBorder="1" applyAlignment="1">
      <alignment vertical="center"/>
    </xf>
    <xf numFmtId="4" fontId="11" fillId="0" borderId="1" xfId="0" applyNumberFormat="1" applyFont="1" applyFill="1" applyBorder="1" applyAlignment="1">
      <alignment vertical="center"/>
    </xf>
    <xf numFmtId="3" fontId="11" fillId="0" borderId="28" xfId="0" applyNumberFormat="1" applyFont="1" applyFill="1" applyBorder="1" applyAlignment="1">
      <alignment vertical="center"/>
    </xf>
    <xf numFmtId="3" fontId="11" fillId="0" borderId="1" xfId="0" applyNumberFormat="1" applyFont="1" applyFill="1" applyBorder="1" applyAlignment="1">
      <alignment horizontal="center" vertical="center"/>
    </xf>
    <xf numFmtId="3" fontId="11" fillId="3" borderId="1" xfId="0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38" fillId="0" borderId="0" xfId="0" applyFont="1" applyFill="1" applyBorder="1" applyAlignment="1">
      <alignment vertical="center"/>
    </xf>
    <xf numFmtId="0" fontId="39" fillId="0" borderId="0" xfId="0" applyFont="1" applyFill="1" applyBorder="1" applyAlignment="1">
      <alignment horizontal="right" vertical="center"/>
    </xf>
    <xf numFmtId="3" fontId="39" fillId="0" borderId="0" xfId="0" applyNumberFormat="1" applyFont="1" applyFill="1" applyBorder="1" applyAlignment="1">
      <alignment horizontal="center" vertical="center"/>
    </xf>
    <xf numFmtId="4" fontId="39" fillId="0" borderId="0" xfId="0" applyNumberFormat="1" applyFont="1" applyFill="1" applyBorder="1" applyAlignment="1">
      <alignment horizontal="center" vertical="center"/>
    </xf>
    <xf numFmtId="10" fontId="39" fillId="0" borderId="0" xfId="1" applyNumberFormat="1" applyFont="1" applyFill="1" applyBorder="1" applyAlignment="1">
      <alignment vertical="center"/>
    </xf>
    <xf numFmtId="3" fontId="39" fillId="0" borderId="0" xfId="0" applyNumberFormat="1" applyFont="1" applyFill="1" applyBorder="1" applyAlignment="1">
      <alignment vertical="center"/>
    </xf>
    <xf numFmtId="0" fontId="39" fillId="0" borderId="0" xfId="0" applyFont="1" applyFill="1" applyAlignment="1">
      <alignment vertical="center"/>
    </xf>
    <xf numFmtId="0" fontId="0" fillId="0" borderId="43" xfId="0" applyFill="1" applyBorder="1" applyAlignment="1">
      <alignment vertical="center"/>
    </xf>
    <xf numFmtId="0" fontId="1" fillId="9" borderId="28" xfId="0" applyFont="1" applyFill="1" applyBorder="1" applyAlignment="1">
      <alignment vertical="center"/>
    </xf>
    <xf numFmtId="0" fontId="1" fillId="19" borderId="60" xfId="0" applyFont="1" applyFill="1" applyBorder="1" applyAlignment="1">
      <alignment vertical="center"/>
    </xf>
    <xf numFmtId="4" fontId="4" fillId="0" borderId="13" xfId="1" applyNumberFormat="1" applyFont="1" applyFill="1" applyBorder="1" applyAlignment="1" applyProtection="1">
      <alignment horizontal="center" vertical="center"/>
      <protection locked="0"/>
    </xf>
    <xf numFmtId="4" fontId="4" fillId="0" borderId="12" xfId="1" applyNumberFormat="1" applyFont="1" applyFill="1" applyBorder="1" applyAlignment="1" applyProtection="1">
      <alignment horizontal="center" vertical="center"/>
      <protection locked="0"/>
    </xf>
    <xf numFmtId="4" fontId="4" fillId="0" borderId="40" xfId="1" applyNumberFormat="1" applyFont="1" applyFill="1" applyBorder="1" applyAlignment="1" applyProtection="1">
      <alignment horizontal="center" vertical="center"/>
      <protection locked="0"/>
    </xf>
    <xf numFmtId="4" fontId="4" fillId="0" borderId="8" xfId="0" applyNumberFormat="1" applyFont="1" applyFill="1" applyBorder="1" applyAlignment="1" applyProtection="1">
      <alignment horizontal="center" vertical="center"/>
      <protection locked="0"/>
    </xf>
    <xf numFmtId="4" fontId="7" fillId="0" borderId="29" xfId="1" applyNumberFormat="1" applyFont="1" applyFill="1" applyBorder="1" applyAlignment="1" applyProtection="1">
      <alignment horizontal="center" vertical="center"/>
      <protection locked="0"/>
    </xf>
    <xf numFmtId="4" fontId="4" fillId="4" borderId="6" xfId="1" applyNumberFormat="1" applyFont="1" applyFill="1" applyBorder="1" applyAlignment="1" applyProtection="1">
      <alignment horizontal="center" vertical="center"/>
      <protection locked="0"/>
    </xf>
    <xf numFmtId="4" fontId="4" fillId="0" borderId="9" xfId="1" applyNumberFormat="1" applyFont="1" applyFill="1" applyBorder="1" applyAlignment="1" applyProtection="1">
      <alignment horizontal="center" vertical="center"/>
      <protection locked="0"/>
    </xf>
    <xf numFmtId="4" fontId="0" fillId="0" borderId="12" xfId="0" applyNumberFormat="1" applyFill="1" applyBorder="1" applyAlignment="1" applyProtection="1">
      <alignment horizontal="center" vertical="center"/>
      <protection locked="0"/>
    </xf>
    <xf numFmtId="4" fontId="4" fillId="0" borderId="6" xfId="0" applyNumberFormat="1" applyFont="1" applyFill="1" applyBorder="1" applyAlignment="1" applyProtection="1">
      <alignment horizontal="center" vertical="center"/>
      <protection locked="0"/>
    </xf>
    <xf numFmtId="4" fontId="4" fillId="4" borderId="8" xfId="0" applyNumberFormat="1" applyFont="1" applyFill="1" applyBorder="1" applyAlignment="1" applyProtection="1">
      <alignment horizontal="center" vertical="center"/>
      <protection locked="0"/>
    </xf>
    <xf numFmtId="4" fontId="4" fillId="0" borderId="29" xfId="0" applyNumberFormat="1" applyFont="1" applyFill="1" applyBorder="1" applyAlignment="1" applyProtection="1">
      <alignment horizontal="center" vertical="center"/>
      <protection locked="0"/>
    </xf>
    <xf numFmtId="4" fontId="4" fillId="4" borderId="31" xfId="0" applyNumberFormat="1" applyFont="1" applyFill="1" applyBorder="1" applyAlignment="1" applyProtection="1">
      <alignment horizontal="center" vertical="center"/>
      <protection locked="0"/>
    </xf>
    <xf numFmtId="2" fontId="4" fillId="0" borderId="8" xfId="0" applyNumberFormat="1" applyFont="1" applyFill="1" applyBorder="1" applyAlignment="1" applyProtection="1">
      <alignment horizontal="center" vertical="center"/>
      <protection locked="0"/>
    </xf>
    <xf numFmtId="4" fontId="4" fillId="0" borderId="12" xfId="0" applyNumberFormat="1" applyFont="1" applyFill="1" applyBorder="1" applyAlignment="1" applyProtection="1">
      <alignment horizontal="center" vertical="center"/>
      <protection locked="0"/>
    </xf>
    <xf numFmtId="4" fontId="1" fillId="0" borderId="145" xfId="0" applyNumberFormat="1" applyFont="1" applyFill="1" applyBorder="1" applyAlignment="1" applyProtection="1">
      <alignment horizontal="center" vertical="center"/>
      <protection locked="0"/>
    </xf>
    <xf numFmtId="4" fontId="4" fillId="4" borderId="12" xfId="0" applyNumberFormat="1" applyFont="1" applyFill="1" applyBorder="1" applyAlignment="1" applyProtection="1">
      <alignment horizontal="center" vertical="center"/>
      <protection locked="0"/>
    </xf>
    <xf numFmtId="4" fontId="4" fillId="15" borderId="29" xfId="0" applyNumberFormat="1" applyFont="1" applyFill="1" applyBorder="1" applyAlignment="1" applyProtection="1">
      <alignment horizontal="center" vertical="center"/>
      <protection locked="0"/>
    </xf>
    <xf numFmtId="4" fontId="4" fillId="4" borderId="6" xfId="0" applyNumberFormat="1" applyFont="1" applyFill="1" applyBorder="1" applyAlignment="1" applyProtection="1">
      <alignment vertical="center"/>
      <protection locked="0"/>
    </xf>
    <xf numFmtId="4" fontId="4" fillId="4" borderId="31" xfId="0" applyNumberFormat="1" applyFont="1" applyFill="1" applyBorder="1" applyAlignment="1" applyProtection="1">
      <alignment vertical="center"/>
      <protection locked="0"/>
    </xf>
    <xf numFmtId="2" fontId="0" fillId="0" borderId="12" xfId="0" applyNumberFormat="1" applyFill="1" applyBorder="1" applyAlignment="1" applyProtection="1">
      <alignment horizontal="center" vertical="center"/>
      <protection locked="0"/>
    </xf>
    <xf numFmtId="2" fontId="4" fillId="0" borderId="6" xfId="0" applyNumberFormat="1" applyFont="1" applyFill="1" applyBorder="1" applyAlignment="1" applyProtection="1">
      <alignment horizontal="center" vertical="center"/>
      <protection locked="0"/>
    </xf>
    <xf numFmtId="2" fontId="4" fillId="4" borderId="12" xfId="0" applyNumberFormat="1" applyFont="1" applyFill="1" applyBorder="1" applyAlignment="1" applyProtection="1">
      <alignment horizontal="center" vertical="center"/>
      <protection locked="0"/>
    </xf>
    <xf numFmtId="2" fontId="4" fillId="0" borderId="12" xfId="0" applyNumberFormat="1" applyFont="1" applyFill="1" applyBorder="1" applyAlignment="1" applyProtection="1">
      <alignment horizontal="center" vertical="center"/>
      <protection locked="0"/>
    </xf>
    <xf numFmtId="2" fontId="1" fillId="0" borderId="145" xfId="0" applyNumberFormat="1" applyFont="1" applyFill="1" applyBorder="1" applyAlignment="1" applyProtection="1">
      <alignment horizontal="center" vertical="center"/>
      <protection locked="0"/>
    </xf>
    <xf numFmtId="2" fontId="4" fillId="15" borderId="13" xfId="0" applyNumberFormat="1" applyFont="1" applyFill="1" applyBorder="1" applyAlignment="1" applyProtection="1">
      <alignment horizontal="center" vertical="center"/>
      <protection locked="0"/>
    </xf>
    <xf numFmtId="2" fontId="4" fillId="15" borderId="9" xfId="0" applyNumberFormat="1" applyFont="1" applyFill="1" applyBorder="1" applyAlignment="1" applyProtection="1">
      <alignment horizontal="center" vertical="center"/>
      <protection locked="0"/>
    </xf>
    <xf numFmtId="2" fontId="4" fillId="15" borderId="21" xfId="0" applyNumberFormat="1" applyFont="1" applyFill="1" applyBorder="1" applyAlignment="1" applyProtection="1">
      <alignment horizontal="center" vertical="center"/>
      <protection locked="0"/>
    </xf>
    <xf numFmtId="2" fontId="4" fillId="4" borderId="8" xfId="0" applyNumberFormat="1" applyFont="1" applyFill="1" applyBorder="1" applyAlignment="1" applyProtection="1">
      <alignment horizontal="center" vertical="center"/>
      <protection locked="0"/>
    </xf>
    <xf numFmtId="4" fontId="4" fillId="0" borderId="37" xfId="0" applyNumberFormat="1" applyFont="1" applyFill="1" applyBorder="1" applyAlignment="1">
      <alignment vertical="center"/>
    </xf>
    <xf numFmtId="3" fontId="4" fillId="4" borderId="36" xfId="0" applyNumberFormat="1" applyFont="1" applyFill="1" applyBorder="1" applyAlignment="1">
      <alignment horizontal="center" vertical="center"/>
    </xf>
    <xf numFmtId="164" fontId="5" fillId="4" borderId="42" xfId="1" applyNumberFormat="1" applyFont="1" applyFill="1" applyBorder="1" applyAlignment="1">
      <alignment vertical="center"/>
    </xf>
    <xf numFmtId="0" fontId="4" fillId="0" borderId="16" xfId="0" applyFont="1" applyFill="1" applyBorder="1" applyAlignment="1">
      <alignment horizontal="center" vertical="center"/>
    </xf>
    <xf numFmtId="4" fontId="4" fillId="15" borderId="31" xfId="0" applyNumberFormat="1" applyFont="1" applyFill="1" applyBorder="1" applyAlignment="1">
      <alignment horizontal="center" vertical="center"/>
    </xf>
    <xf numFmtId="4" fontId="1" fillId="0" borderId="40" xfId="0" applyNumberFormat="1" applyFont="1" applyFill="1" applyBorder="1" applyAlignment="1">
      <alignment horizontal="center" vertical="center"/>
    </xf>
    <xf numFmtId="4" fontId="4" fillId="4" borderId="12" xfId="1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 wrapText="1"/>
    </xf>
    <xf numFmtId="3" fontId="5" fillId="0" borderId="7" xfId="1" applyNumberFormat="1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4" fontId="4" fillId="0" borderId="29" xfId="1" applyNumberFormat="1" applyFont="1" applyFill="1" applyBorder="1" applyAlignment="1" applyProtection="1">
      <alignment horizontal="center" vertical="center"/>
      <protection locked="0"/>
    </xf>
    <xf numFmtId="3" fontId="11" fillId="0" borderId="0" xfId="0" applyNumberFormat="1" applyFont="1" applyFill="1" applyBorder="1" applyAlignment="1" applyProtection="1">
      <alignment vertical="center"/>
    </xf>
    <xf numFmtId="0" fontId="1" fillId="19" borderId="28" xfId="0" applyFont="1" applyFill="1" applyBorder="1" applyAlignment="1">
      <alignment horizontal="left" vertical="center"/>
    </xf>
    <xf numFmtId="3" fontId="0" fillId="0" borderId="7" xfId="0" applyNumberFormat="1" applyFill="1" applyBorder="1" applyAlignment="1">
      <alignment horizontal="center" vertical="center"/>
    </xf>
    <xf numFmtId="3" fontId="5" fillId="0" borderId="24" xfId="1" applyNumberFormat="1" applyFont="1" applyFill="1" applyBorder="1" applyAlignment="1">
      <alignment horizontal="center" vertical="center"/>
    </xf>
    <xf numFmtId="4" fontId="0" fillId="0" borderId="29" xfId="0" applyNumberFormat="1" applyFill="1" applyBorder="1" applyAlignment="1" applyProtection="1">
      <alignment horizontal="center" vertical="center"/>
      <protection locked="0"/>
    </xf>
    <xf numFmtId="4" fontId="9" fillId="0" borderId="40" xfId="0" applyNumberFormat="1" applyFont="1" applyFill="1" applyBorder="1" applyAlignment="1" applyProtection="1">
      <alignment horizontal="center" vertical="center"/>
      <protection locked="0"/>
    </xf>
    <xf numFmtId="2" fontId="0" fillId="0" borderId="29" xfId="0" applyNumberFormat="1" applyFill="1" applyBorder="1" applyAlignment="1" applyProtection="1">
      <alignment horizontal="center" vertical="center"/>
      <protection locked="0"/>
    </xf>
    <xf numFmtId="2" fontId="9" fillId="0" borderId="40" xfId="0" applyNumberFormat="1" applyFont="1" applyFill="1" applyBorder="1" applyAlignment="1" applyProtection="1">
      <alignment horizontal="center" vertical="center"/>
      <protection locked="0"/>
    </xf>
    <xf numFmtId="4" fontId="0" fillId="0" borderId="0" xfId="0" applyNumberFormat="1" applyFill="1" applyBorder="1" applyAlignment="1">
      <alignment horizontal="center" vertical="center"/>
    </xf>
    <xf numFmtId="3" fontId="0" fillId="0" borderId="36" xfId="0" applyNumberFormat="1" applyFill="1" applyBorder="1" applyAlignment="1">
      <alignment horizontal="center" vertical="center"/>
    </xf>
    <xf numFmtId="0" fontId="0" fillId="20" borderId="1" xfId="0" applyFill="1" applyBorder="1" applyAlignment="1" applyProtection="1">
      <alignment horizontal="center" vertical="center"/>
      <protection locked="0"/>
    </xf>
    <xf numFmtId="0" fontId="0" fillId="20" borderId="60" xfId="0" applyFill="1" applyBorder="1" applyAlignment="1" applyProtection="1">
      <alignment horizontal="center" vertical="center"/>
      <protection locked="0"/>
    </xf>
    <xf numFmtId="0" fontId="0" fillId="0" borderId="37" xfId="0" applyBorder="1"/>
    <xf numFmtId="0" fontId="0" fillId="20" borderId="28" xfId="0" applyFill="1" applyBorder="1" applyAlignment="1" applyProtection="1">
      <alignment horizontal="center" vertical="center"/>
      <protection locked="0"/>
    </xf>
    <xf numFmtId="164" fontId="3" fillId="9" borderId="28" xfId="0" applyNumberFormat="1" applyFont="1" applyFill="1" applyBorder="1" applyAlignment="1">
      <alignment horizontal="center" vertical="center"/>
    </xf>
    <xf numFmtId="164" fontId="3" fillId="9" borderId="20" xfId="0" applyNumberFormat="1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right" vertical="center"/>
    </xf>
    <xf numFmtId="0" fontId="9" fillId="0" borderId="4" xfId="0" applyFont="1" applyFill="1" applyBorder="1" applyAlignment="1">
      <alignment horizontal="right" vertical="center"/>
    </xf>
    <xf numFmtId="0" fontId="9" fillId="0" borderId="28" xfId="0" applyFont="1" applyFill="1" applyBorder="1" applyAlignment="1">
      <alignment horizontal="right" vertical="center"/>
    </xf>
    <xf numFmtId="0" fontId="9" fillId="0" borderId="20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 vertical="center"/>
    </xf>
    <xf numFmtId="3" fontId="1" fillId="0" borderId="41" xfId="0" applyNumberFormat="1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0" fontId="1" fillId="20" borderId="28" xfId="0" applyFont="1" applyFill="1" applyBorder="1" applyAlignment="1">
      <alignment horizontal="left" vertical="center"/>
    </xf>
    <xf numFmtId="0" fontId="1" fillId="20" borderId="20" xfId="0" applyFont="1" applyFill="1" applyBorder="1" applyAlignment="1">
      <alignment horizontal="left" vertical="center"/>
    </xf>
    <xf numFmtId="164" fontId="3" fillId="9" borderId="3" xfId="0" applyNumberFormat="1" applyFont="1" applyFill="1" applyBorder="1" applyAlignment="1">
      <alignment horizontal="center" vertical="center"/>
    </xf>
    <xf numFmtId="164" fontId="3" fillId="9" borderId="41" xfId="0" applyNumberFormat="1" applyFont="1" applyFill="1" applyBorder="1" applyAlignment="1">
      <alignment horizontal="center" vertical="center"/>
    </xf>
    <xf numFmtId="0" fontId="1" fillId="13" borderId="5" xfId="0" applyFont="1" applyFill="1" applyBorder="1" applyAlignment="1">
      <alignment horizontal="center" vertical="center"/>
    </xf>
    <xf numFmtId="0" fontId="1" fillId="13" borderId="6" xfId="0" applyFont="1" applyFill="1" applyBorder="1" applyAlignment="1">
      <alignment horizontal="center" vertical="center"/>
    </xf>
    <xf numFmtId="0" fontId="1" fillId="13" borderId="22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6" borderId="41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center" vertical="center"/>
    </xf>
    <xf numFmtId="0" fontId="1" fillId="10" borderId="4" xfId="0" applyFont="1" applyFill="1" applyBorder="1" applyAlignment="1">
      <alignment horizontal="center" vertical="center"/>
    </xf>
    <xf numFmtId="0" fontId="1" fillId="10" borderId="41" xfId="0" applyFont="1" applyFill="1" applyBorder="1" applyAlignment="1">
      <alignment horizontal="center" vertical="center"/>
    </xf>
    <xf numFmtId="0" fontId="1" fillId="9" borderId="3" xfId="0" applyFont="1" applyFill="1" applyBorder="1" applyAlignment="1">
      <alignment horizontal="center" vertical="center"/>
    </xf>
    <xf numFmtId="0" fontId="1" fillId="9" borderId="4" xfId="0" applyFont="1" applyFill="1" applyBorder="1" applyAlignment="1">
      <alignment horizontal="center" vertical="center"/>
    </xf>
    <xf numFmtId="0" fontId="1" fillId="9" borderId="41" xfId="0" applyFont="1" applyFill="1" applyBorder="1" applyAlignment="1">
      <alignment horizontal="center" vertical="center"/>
    </xf>
    <xf numFmtId="0" fontId="1" fillId="17" borderId="3" xfId="0" applyFont="1" applyFill="1" applyBorder="1" applyAlignment="1">
      <alignment horizontal="center" vertical="center"/>
    </xf>
    <xf numFmtId="0" fontId="1" fillId="17" borderId="4" xfId="0" applyFont="1" applyFill="1" applyBorder="1" applyAlignment="1">
      <alignment horizontal="center" vertical="center"/>
    </xf>
    <xf numFmtId="0" fontId="1" fillId="17" borderId="41" xfId="0" applyFont="1" applyFill="1" applyBorder="1" applyAlignment="1">
      <alignment horizontal="center" vertical="center"/>
    </xf>
    <xf numFmtId="0" fontId="1" fillId="13" borderId="3" xfId="0" applyFont="1" applyFill="1" applyBorder="1" applyAlignment="1">
      <alignment horizontal="center" vertical="center"/>
    </xf>
    <xf numFmtId="0" fontId="1" fillId="13" borderId="4" xfId="0" applyFont="1" applyFill="1" applyBorder="1" applyAlignment="1">
      <alignment horizontal="center" vertical="center"/>
    </xf>
    <xf numFmtId="0" fontId="1" fillId="13" borderId="4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7" fillId="16" borderId="0" xfId="0" applyFont="1" applyFill="1" applyAlignment="1">
      <alignment horizontal="center" vertical="center"/>
    </xf>
    <xf numFmtId="0" fontId="1" fillId="9" borderId="130" xfId="0" applyFont="1" applyFill="1" applyBorder="1" applyAlignment="1">
      <alignment horizontal="center" vertical="center"/>
    </xf>
    <xf numFmtId="0" fontId="1" fillId="9" borderId="47" xfId="0" applyFont="1" applyFill="1" applyBorder="1" applyAlignment="1">
      <alignment horizontal="center" vertical="center"/>
    </xf>
    <xf numFmtId="0" fontId="1" fillId="9" borderId="131" xfId="0" applyFont="1" applyFill="1" applyBorder="1" applyAlignment="1">
      <alignment horizontal="center" vertical="center"/>
    </xf>
    <xf numFmtId="0" fontId="1" fillId="17" borderId="130" xfId="0" applyFont="1" applyFill="1" applyBorder="1" applyAlignment="1">
      <alignment horizontal="center" vertical="center"/>
    </xf>
    <xf numFmtId="0" fontId="1" fillId="17" borderId="47" xfId="0" applyFont="1" applyFill="1" applyBorder="1" applyAlignment="1">
      <alignment horizontal="center" vertical="center"/>
    </xf>
    <xf numFmtId="0" fontId="1" fillId="17" borderId="132" xfId="0" applyFont="1" applyFill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30" fillId="13" borderId="25" xfId="0" applyFont="1" applyFill="1" applyBorder="1" applyAlignment="1">
      <alignment horizontal="center" vertical="center" textRotation="90"/>
    </xf>
    <xf numFmtId="0" fontId="30" fillId="13" borderId="122" xfId="0" applyFont="1" applyFill="1" applyBorder="1" applyAlignment="1">
      <alignment horizontal="center" vertical="center" textRotation="90"/>
    </xf>
    <xf numFmtId="0" fontId="15" fillId="0" borderId="6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52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9" fillId="0" borderId="28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2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30" fillId="0" borderId="31" xfId="0" applyFont="1" applyBorder="1" applyAlignment="1">
      <alignment horizontal="center" vertical="center" textRotation="90"/>
    </xf>
    <xf numFmtId="0" fontId="30" fillId="0" borderId="25" xfId="0" applyFont="1" applyBorder="1" applyAlignment="1">
      <alignment horizontal="center" vertical="center" textRotation="90"/>
    </xf>
    <xf numFmtId="0" fontId="30" fillId="0" borderId="122" xfId="0" applyFont="1" applyBorder="1" applyAlignment="1">
      <alignment horizontal="center" vertical="center" textRotation="90"/>
    </xf>
    <xf numFmtId="0" fontId="0" fillId="13" borderId="25" xfId="0" applyFill="1" applyBorder="1"/>
    <xf numFmtId="0" fontId="0" fillId="13" borderId="122" xfId="0" applyFill="1" applyBorder="1"/>
    <xf numFmtId="0" fontId="15" fillId="0" borderId="19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9" fillId="0" borderId="55" xfId="0" applyFont="1" applyBorder="1" applyAlignment="1">
      <alignment horizontal="center" vertical="center"/>
    </xf>
    <xf numFmtId="0" fontId="19" fillId="0" borderId="89" xfId="0" applyFont="1" applyBorder="1" applyAlignment="1">
      <alignment horizontal="center" vertical="center"/>
    </xf>
    <xf numFmtId="0" fontId="27" fillId="5" borderId="0" xfId="0" applyFont="1" applyFill="1" applyAlignment="1">
      <alignment horizontal="center" vertical="center" wrapText="1"/>
    </xf>
    <xf numFmtId="0" fontId="17" fillId="5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/>
    </xf>
    <xf numFmtId="167" fontId="21" fillId="0" borderId="9" xfId="0" applyNumberFormat="1" applyFont="1" applyBorder="1" applyAlignment="1">
      <alignment horizontal="center" vertical="center"/>
    </xf>
    <xf numFmtId="167" fontId="22" fillId="0" borderId="7" xfId="0" applyNumberFormat="1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15" fillId="0" borderId="55" xfId="0" applyFont="1" applyBorder="1" applyAlignment="1">
      <alignment horizontal="center" vertical="center"/>
    </xf>
    <xf numFmtId="0" fontId="19" fillId="0" borderId="52" xfId="0" applyFont="1" applyBorder="1" applyAlignment="1">
      <alignment horizontal="center" vertical="center"/>
    </xf>
    <xf numFmtId="0" fontId="13" fillId="5" borderId="3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0" fontId="13" fillId="5" borderId="4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3" fontId="0" fillId="0" borderId="4" xfId="0" applyNumberFormat="1" applyFill="1" applyBorder="1" applyAlignment="1">
      <alignment horizontal="center" vertical="center"/>
    </xf>
    <xf numFmtId="0" fontId="1" fillId="21" borderId="28" xfId="0" applyFont="1" applyFill="1" applyBorder="1" applyAlignment="1">
      <alignment horizontal="left" vertical="center"/>
    </xf>
    <xf numFmtId="0" fontId="1" fillId="21" borderId="1" xfId="0" applyFont="1" applyFill="1" applyBorder="1" applyAlignment="1">
      <alignment horizontal="left" vertical="center"/>
    </xf>
    <xf numFmtId="0" fontId="1" fillId="21" borderId="20" xfId="0" applyFont="1" applyFill="1" applyBorder="1" applyAlignment="1">
      <alignment horizontal="left" vertical="center"/>
    </xf>
  </cellXfs>
  <cellStyles count="4">
    <cellStyle name="Millares_Proforma-Certificados BLOQUE A JUNIO 2012" xfId="1" xr:uid="{00000000-0005-0000-0000-000000000000}"/>
    <cellStyle name="Normal" xfId="0" builtinId="0"/>
    <cellStyle name="Normal_12 Diciembre 2012 Proforma Bloque A" xfId="2" xr:uid="{00000000-0005-0000-0000-000002000000}"/>
    <cellStyle name="Normal_Proforma tipo" xfId="3" xr:uid="{00000000-0005-0000-0000-000003000000}"/>
  </cellStyles>
  <dxfs count="0"/>
  <tableStyles count="0" defaultTableStyle="TableStyleMedium2" defaultPivotStyle="PivotStyleLight16"/>
  <colors>
    <mruColors>
      <color rgb="FFCC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742950</xdr:colOff>
      <xdr:row>0</xdr:row>
      <xdr:rowOff>95250</xdr:rowOff>
    </xdr:from>
    <xdr:to>
      <xdr:col>2</xdr:col>
      <xdr:colOff>371475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95250"/>
          <a:ext cx="81915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257175</xdr:colOff>
      <xdr:row>61</xdr:row>
      <xdr:rowOff>0</xdr:rowOff>
    </xdr:from>
    <xdr:to>
      <xdr:col>3</xdr:col>
      <xdr:colOff>647700</xdr:colOff>
      <xdr:row>63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2525" y="11115675"/>
          <a:ext cx="83820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62"/>
  <sheetViews>
    <sheetView showGridLines="0" tabSelected="1" topLeftCell="A31" zoomScale="70" zoomScaleNormal="70" workbookViewId="0">
      <selection activeCell="D55" sqref="D55"/>
    </sheetView>
  </sheetViews>
  <sheetFormatPr baseColWidth="10" defaultColWidth="11.44140625" defaultRowHeight="13.2" x14ac:dyDescent="0.25"/>
  <cols>
    <col min="1" max="1" width="16.5546875" style="2" customWidth="1"/>
    <col min="2" max="2" width="59.33203125" style="6" customWidth="1"/>
    <col min="3" max="3" width="17.33203125" style="6" customWidth="1"/>
    <col min="4" max="5" width="16.5546875" style="11" customWidth="1"/>
    <col min="6" max="6" width="16.5546875" style="12" customWidth="1"/>
    <col min="7" max="7" width="18.6640625" style="14" customWidth="1"/>
    <col min="8" max="9" width="16.5546875" style="9" customWidth="1"/>
    <col min="10" max="10" width="16.5546875" style="10" customWidth="1"/>
    <col min="11" max="11" width="18.6640625" style="6" customWidth="1"/>
    <col min="12" max="13" width="16.5546875" style="9" customWidth="1"/>
    <col min="14" max="14" width="16.5546875" style="11" customWidth="1"/>
    <col min="15" max="15" width="18.6640625" style="6" customWidth="1"/>
    <col min="16" max="16384" width="11.44140625" style="6"/>
  </cols>
  <sheetData>
    <row r="1" spans="1:16" s="2" customFormat="1" ht="26.25" customHeight="1" thickBot="1" x14ac:dyDescent="0.3">
      <c r="A1" s="678" t="s">
        <v>4</v>
      </c>
      <c r="B1" s="679"/>
      <c r="C1" s="1"/>
      <c r="D1" s="682" t="s">
        <v>42</v>
      </c>
      <c r="E1" s="683"/>
      <c r="F1" s="683"/>
      <c r="G1" s="684"/>
      <c r="H1" s="671" t="s">
        <v>5</v>
      </c>
      <c r="I1" s="672"/>
      <c r="J1" s="672"/>
      <c r="K1" s="673"/>
      <c r="L1" s="671" t="s">
        <v>6</v>
      </c>
      <c r="M1" s="672"/>
      <c r="N1" s="672"/>
      <c r="O1" s="673"/>
    </row>
    <row r="2" spans="1:16" s="5" customFormat="1" ht="36.75" customHeight="1" thickBot="1" x14ac:dyDescent="0.3">
      <c r="A2" s="3"/>
      <c r="B2" s="652" t="s">
        <v>7</v>
      </c>
      <c r="C2" s="4" t="s">
        <v>8</v>
      </c>
      <c r="D2" s="455" t="s">
        <v>9</v>
      </c>
      <c r="E2" s="556" t="s">
        <v>180</v>
      </c>
      <c r="F2" s="494" t="s">
        <v>185</v>
      </c>
      <c r="G2" s="468" t="s">
        <v>41</v>
      </c>
      <c r="H2" s="469" t="s">
        <v>9</v>
      </c>
      <c r="I2" s="555" t="s">
        <v>180</v>
      </c>
      <c r="J2" s="495" t="s">
        <v>185</v>
      </c>
      <c r="K2" s="470" t="s">
        <v>41</v>
      </c>
      <c r="L2" s="554" t="s">
        <v>9</v>
      </c>
      <c r="M2" s="469" t="s">
        <v>180</v>
      </c>
      <c r="N2" s="495" t="s">
        <v>185</v>
      </c>
      <c r="O2" s="470" t="s">
        <v>41</v>
      </c>
    </row>
    <row r="3" spans="1:16" ht="12.9" customHeight="1" x14ac:dyDescent="0.25">
      <c r="A3" s="680" t="s">
        <v>10</v>
      </c>
      <c r="B3" s="481" t="s">
        <v>189</v>
      </c>
      <c r="C3" s="485" t="s">
        <v>190</v>
      </c>
      <c r="D3" s="484">
        <f>11*PLANIF_MENSUAL_INVIERNO!AJ4*1</f>
        <v>62774.25</v>
      </c>
      <c r="E3" s="557">
        <v>20</v>
      </c>
      <c r="F3" s="615"/>
      <c r="G3" s="20">
        <f t="shared" ref="G3:G8" si="0">+D3*F3</f>
        <v>0</v>
      </c>
      <c r="H3" s="475">
        <f>(11*(PLANIF_MENSUAL_INVIERNO!AJ5)*1)+(11*(PLANIF_MENSUAL_INVIERNO!AJ5)*1)</f>
        <v>46882</v>
      </c>
      <c r="I3" s="570">
        <v>20</v>
      </c>
      <c r="J3" s="621"/>
      <c r="K3" s="493">
        <f t="shared" ref="K3:K8" si="1">+H3*J3</f>
        <v>0</v>
      </c>
      <c r="L3" s="475">
        <f>(11*(PLANIF_MENSUAL_INVIERNO!AJ6)*1)</f>
        <v>45201.75</v>
      </c>
      <c r="M3" s="570">
        <v>20</v>
      </c>
      <c r="N3" s="633"/>
      <c r="O3" s="20">
        <f t="shared" ref="O3:O8" si="2">+L3*N3</f>
        <v>0</v>
      </c>
    </row>
    <row r="4" spans="1:16" ht="12.9" customHeight="1" x14ac:dyDescent="0.25">
      <c r="A4" s="681"/>
      <c r="B4" s="482" t="s">
        <v>11</v>
      </c>
      <c r="C4" s="486" t="s">
        <v>2</v>
      </c>
      <c r="D4" s="651">
        <v>0</v>
      </c>
      <c r="E4" s="558">
        <v>12</v>
      </c>
      <c r="F4" s="615"/>
      <c r="G4" s="492">
        <f t="shared" si="0"/>
        <v>0</v>
      </c>
      <c r="H4" s="649">
        <v>0</v>
      </c>
      <c r="I4" s="570">
        <v>12</v>
      </c>
      <c r="J4" s="621"/>
      <c r="K4" s="479">
        <f t="shared" si="1"/>
        <v>0</v>
      </c>
      <c r="L4" s="649">
        <v>0</v>
      </c>
      <c r="M4" s="570">
        <v>12</v>
      </c>
      <c r="N4" s="633"/>
      <c r="O4" s="492">
        <f t="shared" si="2"/>
        <v>0</v>
      </c>
    </row>
    <row r="5" spans="1:16" ht="12.9" customHeight="1" x14ac:dyDescent="0.25">
      <c r="A5" s="681"/>
      <c r="B5" s="482" t="s">
        <v>12</v>
      </c>
      <c r="C5" s="486" t="s">
        <v>0</v>
      </c>
      <c r="D5" s="651">
        <f>11*PLANIF_MENSUAL_INVIERNO!AE4*0.4</f>
        <v>4059</v>
      </c>
      <c r="E5" s="558">
        <v>20</v>
      </c>
      <c r="F5" s="615"/>
      <c r="G5" s="479">
        <f t="shared" si="0"/>
        <v>0</v>
      </c>
      <c r="H5" s="649">
        <f>(11*(PLANIF_MENSUAL_INVIERNO!AE5)*0.4)+((11*PLANIF_MENSUAL_INVIERNO!AE26)*0.4)</f>
        <v>1584</v>
      </c>
      <c r="I5" s="570">
        <v>20</v>
      </c>
      <c r="J5" s="621"/>
      <c r="K5" s="471">
        <f t="shared" si="1"/>
        <v>0</v>
      </c>
      <c r="L5" s="649">
        <f>(11*(PLANIF_MENSUAL_INVIERNO!AE6)*0.4)</f>
        <v>3069</v>
      </c>
      <c r="M5" s="570">
        <v>20</v>
      </c>
      <c r="N5" s="633"/>
      <c r="O5" s="479">
        <f t="shared" si="2"/>
        <v>0</v>
      </c>
    </row>
    <row r="6" spans="1:16" ht="12.75" customHeight="1" x14ac:dyDescent="0.25">
      <c r="A6" s="681"/>
      <c r="B6" s="482" t="s">
        <v>13</v>
      </c>
      <c r="C6" s="486" t="s">
        <v>14</v>
      </c>
      <c r="D6" s="651">
        <f>11*(PLANIF_MENSUAL_INVIERNO!AE4)*0.6</f>
        <v>6088.5</v>
      </c>
      <c r="E6" s="558">
        <v>8</v>
      </c>
      <c r="F6" s="615"/>
      <c r="G6" s="471">
        <f t="shared" si="0"/>
        <v>0</v>
      </c>
      <c r="H6" s="649">
        <f>(11*(PLANIF_MENSUAL_INVIERNO!AE5)*0.6)+((11*PLANIF_MENSUAL_INVIERNO!AE26)*0.6)</f>
        <v>2376</v>
      </c>
      <c r="I6" s="570">
        <v>8</v>
      </c>
      <c r="J6" s="621"/>
      <c r="K6" s="492">
        <f t="shared" si="1"/>
        <v>0</v>
      </c>
      <c r="L6" s="649">
        <f>(11*(PLANIF_MENSUAL_INVIERNO!AE6)*0.6)</f>
        <v>4603.5</v>
      </c>
      <c r="M6" s="570">
        <v>8</v>
      </c>
      <c r="N6" s="633"/>
      <c r="O6" s="479">
        <f t="shared" si="2"/>
        <v>0</v>
      </c>
    </row>
    <row r="7" spans="1:16" ht="12.9" customHeight="1" x14ac:dyDescent="0.25">
      <c r="A7" s="681"/>
      <c r="B7" s="483" t="s">
        <v>15</v>
      </c>
      <c r="C7" s="486" t="s">
        <v>1</v>
      </c>
      <c r="D7" s="651">
        <v>0</v>
      </c>
      <c r="E7" s="558">
        <v>25</v>
      </c>
      <c r="F7" s="615"/>
      <c r="G7" s="471">
        <f t="shared" si="0"/>
        <v>0</v>
      </c>
      <c r="H7" s="649">
        <v>0</v>
      </c>
      <c r="I7" s="570">
        <v>25</v>
      </c>
      <c r="J7" s="621"/>
      <c r="K7" s="471">
        <f t="shared" si="1"/>
        <v>0</v>
      </c>
      <c r="L7" s="649">
        <v>0</v>
      </c>
      <c r="M7" s="570">
        <v>25</v>
      </c>
      <c r="N7" s="633"/>
      <c r="O7" s="471">
        <f t="shared" si="2"/>
        <v>0</v>
      </c>
      <c r="P7" s="584"/>
    </row>
    <row r="8" spans="1:16" ht="12.9" customHeight="1" thickBot="1" x14ac:dyDescent="0.3">
      <c r="A8" s="681"/>
      <c r="B8" s="483" t="s">
        <v>16</v>
      </c>
      <c r="C8" s="486" t="s">
        <v>17</v>
      </c>
      <c r="D8" s="658">
        <f>50*6</f>
        <v>300</v>
      </c>
      <c r="E8" s="558">
        <v>175</v>
      </c>
      <c r="F8" s="615"/>
      <c r="G8" s="471">
        <f t="shared" si="0"/>
        <v>0</v>
      </c>
      <c r="H8" s="657">
        <f>28*4+2*4</f>
        <v>120</v>
      </c>
      <c r="I8" s="570">
        <v>175</v>
      </c>
      <c r="J8" s="659"/>
      <c r="K8" s="472">
        <f t="shared" si="1"/>
        <v>0</v>
      </c>
      <c r="L8" s="664">
        <v>186</v>
      </c>
      <c r="M8" s="663">
        <v>175</v>
      </c>
      <c r="N8" s="661"/>
      <c r="O8" s="492">
        <f t="shared" si="2"/>
        <v>0</v>
      </c>
    </row>
    <row r="9" spans="1:16" ht="12.9" customHeight="1" thickBot="1" x14ac:dyDescent="0.3">
      <c r="A9" s="650"/>
      <c r="B9" s="674" t="s">
        <v>43</v>
      </c>
      <c r="C9" s="675"/>
      <c r="D9" s="467"/>
      <c r="E9" s="559"/>
      <c r="F9" s="616"/>
      <c r="G9" s="478">
        <f>G3+G4+G5+G6+G7+G8</f>
        <v>0</v>
      </c>
      <c r="H9" s="476"/>
      <c r="I9" s="463"/>
      <c r="J9" s="660"/>
      <c r="K9" s="23">
        <f>+SUM(K3:K8)</f>
        <v>0</v>
      </c>
      <c r="L9" s="462"/>
      <c r="M9" s="463"/>
      <c r="N9" s="662"/>
      <c r="O9" s="466">
        <f>+SUM(O3:O8)</f>
        <v>0</v>
      </c>
    </row>
    <row r="10" spans="1:16" ht="12.9" customHeight="1" x14ac:dyDescent="0.25">
      <c r="A10" s="680" t="s">
        <v>18</v>
      </c>
      <c r="B10" s="502" t="s">
        <v>172</v>
      </c>
      <c r="C10" s="507" t="s">
        <v>161</v>
      </c>
      <c r="D10" s="508">
        <f>D8*2</f>
        <v>600</v>
      </c>
      <c r="E10" s="560">
        <v>90</v>
      </c>
      <c r="F10" s="615"/>
      <c r="G10" s="509">
        <f>+D10*F10</f>
        <v>0</v>
      </c>
      <c r="H10" s="477">
        <v>60</v>
      </c>
      <c r="I10" s="571">
        <v>90</v>
      </c>
      <c r="J10" s="622"/>
      <c r="K10" s="526">
        <f>+H10*J10</f>
        <v>0</v>
      </c>
      <c r="L10" s="508">
        <v>84</v>
      </c>
      <c r="M10" s="578">
        <v>90</v>
      </c>
      <c r="N10" s="634"/>
      <c r="O10" s="473">
        <f>L10*N10</f>
        <v>0</v>
      </c>
    </row>
    <row r="11" spans="1:16" ht="12.75" customHeight="1" x14ac:dyDescent="0.25">
      <c r="A11" s="681"/>
      <c r="B11" s="496" t="s">
        <v>168</v>
      </c>
      <c r="C11" s="510" t="s">
        <v>167</v>
      </c>
      <c r="D11" s="497"/>
      <c r="E11" s="561"/>
      <c r="F11" s="648"/>
      <c r="G11" s="511"/>
      <c r="H11" s="497"/>
      <c r="I11" s="572"/>
      <c r="J11" s="623"/>
      <c r="K11" s="529"/>
      <c r="L11" s="497"/>
      <c r="M11" s="561"/>
      <c r="N11" s="635"/>
      <c r="O11" s="491"/>
    </row>
    <row r="12" spans="1:16" ht="12.9" customHeight="1" x14ac:dyDescent="0.25">
      <c r="A12" s="681"/>
      <c r="B12" s="483" t="s">
        <v>19</v>
      </c>
      <c r="C12" s="504" t="s">
        <v>162</v>
      </c>
      <c r="D12" s="22">
        <v>246</v>
      </c>
      <c r="E12" s="560">
        <v>80</v>
      </c>
      <c r="F12" s="615"/>
      <c r="G12" s="509">
        <f t="shared" ref="G12:G24" si="3">+D12*F12</f>
        <v>0</v>
      </c>
      <c r="H12" s="22">
        <v>60</v>
      </c>
      <c r="I12" s="568">
        <v>80</v>
      </c>
      <c r="J12" s="624"/>
      <c r="K12" s="530">
        <f>+H12*J12</f>
        <v>0</v>
      </c>
      <c r="L12" s="22">
        <v>84</v>
      </c>
      <c r="M12" s="560">
        <v>80</v>
      </c>
      <c r="N12" s="636"/>
      <c r="O12" s="473">
        <f>L12*N12</f>
        <v>0</v>
      </c>
    </row>
    <row r="13" spans="1:16" ht="12.9" customHeight="1" x14ac:dyDescent="0.25">
      <c r="A13" s="681"/>
      <c r="B13" s="483" t="s">
        <v>20</v>
      </c>
      <c r="C13" s="504" t="s">
        <v>163</v>
      </c>
      <c r="D13" s="22">
        <v>123</v>
      </c>
      <c r="E13" s="560">
        <v>90</v>
      </c>
      <c r="F13" s="615"/>
      <c r="G13" s="509">
        <f t="shared" si="3"/>
        <v>0</v>
      </c>
      <c r="H13" s="21"/>
      <c r="I13" s="573"/>
      <c r="J13" s="625"/>
      <c r="K13" s="532"/>
      <c r="L13" s="21"/>
      <c r="M13" s="561"/>
      <c r="N13" s="635"/>
      <c r="O13" s="491"/>
    </row>
    <row r="14" spans="1:16" ht="12.9" customHeight="1" x14ac:dyDescent="0.25">
      <c r="A14" s="681"/>
      <c r="B14" s="483" t="s">
        <v>21</v>
      </c>
      <c r="C14" s="504" t="s">
        <v>164</v>
      </c>
      <c r="D14" s="22">
        <v>123</v>
      </c>
      <c r="E14" s="560">
        <v>80</v>
      </c>
      <c r="F14" s="615"/>
      <c r="G14" s="509">
        <f t="shared" si="3"/>
        <v>0</v>
      </c>
      <c r="H14" s="21"/>
      <c r="I14" s="574"/>
      <c r="J14" s="623"/>
      <c r="K14" s="529"/>
      <c r="L14" s="21"/>
      <c r="M14" s="561"/>
      <c r="N14" s="635"/>
      <c r="O14" s="491"/>
    </row>
    <row r="15" spans="1:16" ht="12.9" customHeight="1" x14ac:dyDescent="0.25">
      <c r="A15" s="681"/>
      <c r="B15" s="483" t="s">
        <v>154</v>
      </c>
      <c r="C15" s="504" t="s">
        <v>156</v>
      </c>
      <c r="D15" s="22">
        <v>30</v>
      </c>
      <c r="E15" s="560">
        <v>100</v>
      </c>
      <c r="F15" s="615"/>
      <c r="G15" s="509">
        <f t="shared" si="3"/>
        <v>0</v>
      </c>
      <c r="H15" s="22">
        <v>20</v>
      </c>
      <c r="I15" s="562">
        <v>100</v>
      </c>
      <c r="J15" s="617"/>
      <c r="K15" s="530">
        <f>+H15*J15</f>
        <v>0</v>
      </c>
      <c r="L15" s="22">
        <v>20</v>
      </c>
      <c r="M15" s="560">
        <v>100</v>
      </c>
      <c r="N15" s="636"/>
      <c r="O15" s="473">
        <f>L15*N15</f>
        <v>0</v>
      </c>
    </row>
    <row r="16" spans="1:16" ht="12.9" customHeight="1" x14ac:dyDescent="0.25">
      <c r="A16" s="681"/>
      <c r="B16" s="483" t="s">
        <v>155</v>
      </c>
      <c r="C16" s="504" t="s">
        <v>157</v>
      </c>
      <c r="D16" s="22">
        <v>30</v>
      </c>
      <c r="E16" s="560">
        <v>75</v>
      </c>
      <c r="F16" s="615"/>
      <c r="G16" s="509">
        <f t="shared" si="3"/>
        <v>0</v>
      </c>
      <c r="H16" s="22">
        <v>20</v>
      </c>
      <c r="I16" s="568">
        <v>75</v>
      </c>
      <c r="J16" s="624"/>
      <c r="K16" s="515">
        <f>+H16*J16</f>
        <v>0</v>
      </c>
      <c r="L16" s="22">
        <v>20</v>
      </c>
      <c r="M16" s="560">
        <v>75</v>
      </c>
      <c r="N16" s="636"/>
      <c r="O16" s="473">
        <f>L16*N16</f>
        <v>0</v>
      </c>
    </row>
    <row r="17" spans="1:15" ht="12.75" customHeight="1" x14ac:dyDescent="0.25">
      <c r="A17" s="681"/>
      <c r="B17" s="483" t="s">
        <v>22</v>
      </c>
      <c r="C17" s="504" t="s">
        <v>166</v>
      </c>
      <c r="D17" s="22">
        <v>200</v>
      </c>
      <c r="E17" s="560">
        <v>100</v>
      </c>
      <c r="F17" s="615"/>
      <c r="G17" s="509">
        <f t="shared" si="3"/>
        <v>0</v>
      </c>
      <c r="H17" s="21"/>
      <c r="I17" s="573"/>
      <c r="J17" s="625"/>
      <c r="K17" s="532"/>
      <c r="L17" s="21"/>
      <c r="M17" s="561"/>
      <c r="N17" s="635"/>
      <c r="O17" s="491"/>
    </row>
    <row r="18" spans="1:15" ht="12.9" customHeight="1" x14ac:dyDescent="0.25">
      <c r="A18" s="681"/>
      <c r="B18" s="483" t="s">
        <v>23</v>
      </c>
      <c r="C18" s="504" t="s">
        <v>165</v>
      </c>
      <c r="D18" s="22">
        <v>46</v>
      </c>
      <c r="E18" s="560">
        <v>70</v>
      </c>
      <c r="F18" s="615"/>
      <c r="G18" s="509">
        <f t="shared" si="3"/>
        <v>0</v>
      </c>
      <c r="H18" s="21"/>
      <c r="I18" s="573"/>
      <c r="J18" s="625"/>
      <c r="K18" s="532"/>
      <c r="L18" s="21"/>
      <c r="M18" s="561"/>
      <c r="N18" s="635"/>
      <c r="O18" s="491"/>
    </row>
    <row r="19" spans="1:15" ht="12.9" customHeight="1" x14ac:dyDescent="0.25">
      <c r="A19" s="681"/>
      <c r="B19" s="483" t="s">
        <v>158</v>
      </c>
      <c r="C19" s="504" t="s">
        <v>159</v>
      </c>
      <c r="D19" s="22">
        <v>500</v>
      </c>
      <c r="E19" s="560">
        <v>50</v>
      </c>
      <c r="F19" s="615"/>
      <c r="G19" s="509">
        <f t="shared" si="3"/>
        <v>0</v>
      </c>
      <c r="H19" s="21"/>
      <c r="I19" s="573"/>
      <c r="J19" s="625"/>
      <c r="K19" s="529"/>
      <c r="L19" s="21"/>
      <c r="M19" s="561"/>
      <c r="N19" s="635"/>
      <c r="O19" s="491"/>
    </row>
    <row r="20" spans="1:15" ht="12.9" customHeight="1" x14ac:dyDescent="0.25">
      <c r="A20" s="681"/>
      <c r="B20" s="483" t="s">
        <v>24</v>
      </c>
      <c r="C20" s="504" t="s">
        <v>25</v>
      </c>
      <c r="D20" s="22">
        <v>123</v>
      </c>
      <c r="E20" s="560">
        <v>40</v>
      </c>
      <c r="F20" s="615"/>
      <c r="G20" s="509">
        <f t="shared" si="3"/>
        <v>0</v>
      </c>
      <c r="H20" s="22">
        <v>60</v>
      </c>
      <c r="I20" s="562">
        <v>40</v>
      </c>
      <c r="J20" s="617"/>
      <c r="K20" s="515">
        <f>+H20*J20</f>
        <v>0</v>
      </c>
      <c r="L20" s="22">
        <v>90</v>
      </c>
      <c r="M20" s="560">
        <v>40</v>
      </c>
      <c r="N20" s="636"/>
      <c r="O20" s="473">
        <f>L20*N20</f>
        <v>0</v>
      </c>
    </row>
    <row r="21" spans="1:15" ht="12.9" customHeight="1" x14ac:dyDescent="0.25">
      <c r="A21" s="681"/>
      <c r="B21" s="483" t="s">
        <v>192</v>
      </c>
      <c r="C21" s="504" t="s">
        <v>191</v>
      </c>
      <c r="D21" s="22">
        <v>123</v>
      </c>
      <c r="E21" s="560">
        <v>50</v>
      </c>
      <c r="F21" s="615"/>
      <c r="G21" s="509">
        <f t="shared" si="3"/>
        <v>0</v>
      </c>
      <c r="H21" s="22">
        <v>60</v>
      </c>
      <c r="I21" s="568">
        <v>50</v>
      </c>
      <c r="J21" s="624"/>
      <c r="K21" s="515">
        <f>+H21*J21</f>
        <v>0</v>
      </c>
      <c r="L21" s="22">
        <v>90</v>
      </c>
      <c r="M21" s="560">
        <v>50</v>
      </c>
      <c r="N21" s="636"/>
      <c r="O21" s="473">
        <f>L21*N21</f>
        <v>0</v>
      </c>
    </row>
    <row r="22" spans="1:15" ht="12" customHeight="1" x14ac:dyDescent="0.25">
      <c r="A22" s="681"/>
      <c r="B22" s="483" t="s">
        <v>173</v>
      </c>
      <c r="C22" s="504" t="s">
        <v>174</v>
      </c>
      <c r="D22" s="22">
        <v>60</v>
      </c>
      <c r="E22" s="562">
        <v>20</v>
      </c>
      <c r="F22" s="617"/>
      <c r="G22" s="509">
        <f t="shared" si="3"/>
        <v>0</v>
      </c>
      <c r="H22" s="459">
        <v>30</v>
      </c>
      <c r="I22" s="461">
        <v>20</v>
      </c>
      <c r="J22" s="626"/>
      <c r="K22" s="515">
        <f>+H22*J22</f>
        <v>0</v>
      </c>
      <c r="L22" s="22">
        <v>42</v>
      </c>
      <c r="M22" s="560">
        <v>20</v>
      </c>
      <c r="N22" s="636"/>
      <c r="O22" s="473">
        <f>L22*N22</f>
        <v>0</v>
      </c>
    </row>
    <row r="23" spans="1:15" ht="12.9" customHeight="1" x14ac:dyDescent="0.25">
      <c r="A23" s="681"/>
      <c r="B23" s="483" t="s">
        <v>175</v>
      </c>
      <c r="C23" s="504" t="s">
        <v>176</v>
      </c>
      <c r="D23" s="22">
        <v>60</v>
      </c>
      <c r="E23" s="562">
        <v>20</v>
      </c>
      <c r="F23" s="617"/>
      <c r="G23" s="509">
        <f t="shared" si="3"/>
        <v>0</v>
      </c>
      <c r="H23" s="459">
        <v>30</v>
      </c>
      <c r="I23" s="461">
        <v>20</v>
      </c>
      <c r="J23" s="626"/>
      <c r="K23" s="515">
        <f>+H23*J23</f>
        <v>0</v>
      </c>
      <c r="L23" s="22">
        <v>42</v>
      </c>
      <c r="M23" s="560">
        <v>20</v>
      </c>
      <c r="N23" s="636"/>
      <c r="O23" s="473">
        <f>L23*N23</f>
        <v>0</v>
      </c>
    </row>
    <row r="24" spans="1:15" ht="12.75" customHeight="1" x14ac:dyDescent="0.25">
      <c r="A24" s="681"/>
      <c r="B24" s="483" t="s">
        <v>48</v>
      </c>
      <c r="C24" s="504" t="s">
        <v>49</v>
      </c>
      <c r="D24" s="22">
        <v>3000</v>
      </c>
      <c r="E24" s="560">
        <v>30</v>
      </c>
      <c r="F24" s="615"/>
      <c r="G24" s="509">
        <f t="shared" si="3"/>
        <v>0</v>
      </c>
      <c r="H24" s="21"/>
      <c r="I24" s="574"/>
      <c r="J24" s="623"/>
      <c r="K24" s="532"/>
      <c r="L24" s="21"/>
      <c r="M24" s="561"/>
      <c r="N24" s="635"/>
      <c r="O24" s="19"/>
    </row>
    <row r="25" spans="1:15" ht="12.75" customHeight="1" x14ac:dyDescent="0.25">
      <c r="A25" s="681"/>
      <c r="B25" s="24" t="s">
        <v>187</v>
      </c>
      <c r="C25" s="504" t="s">
        <v>186</v>
      </c>
      <c r="D25" s="506"/>
      <c r="E25" s="568"/>
      <c r="F25" s="654"/>
      <c r="G25" s="509"/>
      <c r="H25" s="643"/>
      <c r="I25" s="528"/>
      <c r="J25" s="629"/>
      <c r="K25" s="511"/>
      <c r="L25" s="643"/>
      <c r="M25" s="528"/>
      <c r="N25" s="635"/>
      <c r="O25" s="644"/>
    </row>
    <row r="26" spans="1:15" ht="12.75" customHeight="1" thickBot="1" x14ac:dyDescent="0.3">
      <c r="A26" s="681"/>
      <c r="B26" s="512" t="s">
        <v>179</v>
      </c>
      <c r="C26" s="645" t="s">
        <v>160</v>
      </c>
      <c r="D26" s="487">
        <v>2666.7</v>
      </c>
      <c r="E26" s="563">
        <v>15</v>
      </c>
      <c r="F26" s="614"/>
      <c r="G26" s="473">
        <f>D26*F26</f>
        <v>0</v>
      </c>
      <c r="H26" s="480">
        <v>2000</v>
      </c>
      <c r="I26" s="646">
        <v>15</v>
      </c>
      <c r="J26" s="627"/>
      <c r="K26" s="509">
        <f>H26*J26</f>
        <v>0</v>
      </c>
      <c r="L26" s="480">
        <v>2191</v>
      </c>
      <c r="M26" s="575">
        <v>15</v>
      </c>
      <c r="N26" s="636"/>
      <c r="O26" s="474">
        <f>L26*N26</f>
        <v>0</v>
      </c>
    </row>
    <row r="27" spans="1:15" ht="13.8" thickBot="1" x14ac:dyDescent="0.3">
      <c r="A27" s="685"/>
      <c r="B27" s="676" t="s">
        <v>44</v>
      </c>
      <c r="C27" s="677"/>
      <c r="D27" s="542"/>
      <c r="E27" s="564"/>
      <c r="F27" s="618"/>
      <c r="G27" s="478">
        <f>SUM(G10:G26)</f>
        <v>0</v>
      </c>
      <c r="H27" s="534"/>
      <c r="I27" s="647"/>
      <c r="J27" s="628"/>
      <c r="K27" s="541">
        <f>SUM(K10:K26)</f>
        <v>0</v>
      </c>
      <c r="L27" s="534"/>
      <c r="M27" s="576"/>
      <c r="N27" s="637"/>
      <c r="O27" s="466">
        <f>SUM(O10:O26)</f>
        <v>0</v>
      </c>
    </row>
    <row r="28" spans="1:15" x14ac:dyDescent="0.25">
      <c r="A28" s="686" t="s">
        <v>26</v>
      </c>
      <c r="B28" s="502" t="s">
        <v>27</v>
      </c>
      <c r="C28" s="513" t="s">
        <v>28</v>
      </c>
      <c r="D28" s="543"/>
      <c r="E28" s="565"/>
      <c r="F28" s="619"/>
      <c r="G28" s="511"/>
      <c r="H28" s="497"/>
      <c r="I28" s="561"/>
      <c r="J28" s="629"/>
      <c r="K28" s="511"/>
      <c r="L28" s="497"/>
      <c r="M28" s="561"/>
      <c r="N28" s="635"/>
      <c r="O28" s="491"/>
    </row>
    <row r="29" spans="1:15" x14ac:dyDescent="0.25">
      <c r="A29" s="687"/>
      <c r="B29" s="483" t="s">
        <v>29</v>
      </c>
      <c r="C29" s="514" t="s">
        <v>30</v>
      </c>
      <c r="D29" s="22">
        <v>246</v>
      </c>
      <c r="E29" s="560">
        <v>70</v>
      </c>
      <c r="F29" s="615"/>
      <c r="G29" s="515">
        <f t="shared" ref="G29:G37" si="4">+D29*F29</f>
        <v>0</v>
      </c>
      <c r="H29" s="22">
        <v>120</v>
      </c>
      <c r="I29" s="560">
        <v>70</v>
      </c>
      <c r="J29" s="627"/>
      <c r="K29" s="509">
        <f>H29*J29</f>
        <v>0</v>
      </c>
      <c r="L29" s="459">
        <v>186</v>
      </c>
      <c r="M29" s="533">
        <v>70</v>
      </c>
      <c r="N29" s="636"/>
      <c r="O29" s="473">
        <f>L29*N29</f>
        <v>0</v>
      </c>
    </row>
    <row r="30" spans="1:15" x14ac:dyDescent="0.25">
      <c r="A30" s="687"/>
      <c r="B30" s="516" t="s">
        <v>31</v>
      </c>
      <c r="C30" s="517" t="s">
        <v>32</v>
      </c>
      <c r="D30" s="518">
        <v>5000</v>
      </c>
      <c r="E30" s="566">
        <v>2</v>
      </c>
      <c r="F30" s="615"/>
      <c r="G30" s="515">
        <f t="shared" si="4"/>
        <v>0</v>
      </c>
      <c r="H30" s="459">
        <v>2400</v>
      </c>
      <c r="I30" s="533">
        <v>2</v>
      </c>
      <c r="J30" s="627"/>
      <c r="K30" s="509">
        <f>H30*J30</f>
        <v>0</v>
      </c>
      <c r="L30" s="459">
        <v>3611</v>
      </c>
      <c r="M30" s="533">
        <v>2</v>
      </c>
      <c r="N30" s="636"/>
      <c r="O30" s="473">
        <f>L30*N30</f>
        <v>0</v>
      </c>
    </row>
    <row r="31" spans="1:15" x14ac:dyDescent="0.25">
      <c r="A31" s="687"/>
      <c r="B31" s="483" t="s">
        <v>33</v>
      </c>
      <c r="C31" s="514" t="s">
        <v>34</v>
      </c>
      <c r="D31" s="22">
        <v>500</v>
      </c>
      <c r="E31" s="560">
        <v>2</v>
      </c>
      <c r="F31" s="615"/>
      <c r="G31" s="515">
        <f t="shared" si="4"/>
        <v>0</v>
      </c>
      <c r="H31" s="459">
        <v>240</v>
      </c>
      <c r="I31" s="533">
        <v>2</v>
      </c>
      <c r="J31" s="627"/>
      <c r="K31" s="509">
        <f>H31*J31</f>
        <v>0</v>
      </c>
      <c r="L31" s="459">
        <v>370</v>
      </c>
      <c r="M31" s="533">
        <v>2</v>
      </c>
      <c r="N31" s="636"/>
      <c r="O31" s="473">
        <f>L31*N31</f>
        <v>0</v>
      </c>
    </row>
    <row r="32" spans="1:15" ht="12" customHeight="1" x14ac:dyDescent="0.25">
      <c r="A32" s="687"/>
      <c r="B32" s="483" t="s">
        <v>177</v>
      </c>
      <c r="C32" s="514" t="s">
        <v>35</v>
      </c>
      <c r="D32" s="22">
        <v>2460</v>
      </c>
      <c r="E32" s="560">
        <v>25</v>
      </c>
      <c r="F32" s="615"/>
      <c r="G32" s="515">
        <f t="shared" si="4"/>
        <v>0</v>
      </c>
      <c r="H32" s="460"/>
      <c r="I32" s="527"/>
      <c r="J32" s="629"/>
      <c r="K32" s="511"/>
      <c r="L32" s="460"/>
      <c r="M32" s="527"/>
      <c r="N32" s="635"/>
      <c r="O32" s="491"/>
    </row>
    <row r="33" spans="1:15" s="7" customFormat="1" ht="13.2" customHeight="1" thickBot="1" x14ac:dyDescent="0.3">
      <c r="A33" s="688"/>
      <c r="B33" s="503" t="s">
        <v>178</v>
      </c>
      <c r="C33" s="519" t="s">
        <v>36</v>
      </c>
      <c r="D33" s="520">
        <v>246</v>
      </c>
      <c r="E33" s="567">
        <v>35</v>
      </c>
      <c r="F33" s="614"/>
      <c r="G33" s="521">
        <f t="shared" si="4"/>
        <v>0</v>
      </c>
      <c r="H33" s="544">
        <v>120</v>
      </c>
      <c r="I33" s="545">
        <v>35</v>
      </c>
      <c r="J33" s="630"/>
      <c r="K33" s="546">
        <f>H33*J33</f>
        <v>0</v>
      </c>
      <c r="L33" s="544">
        <v>186</v>
      </c>
      <c r="M33" s="579">
        <v>35</v>
      </c>
      <c r="N33" s="638"/>
      <c r="O33" s="547">
        <f>L33*N33</f>
        <v>0</v>
      </c>
    </row>
    <row r="34" spans="1:15" ht="15.6" customHeight="1" x14ac:dyDescent="0.25">
      <c r="A34" s="689" t="s">
        <v>47</v>
      </c>
      <c r="B34" s="489" t="s">
        <v>38</v>
      </c>
      <c r="C34" s="522" t="s">
        <v>39</v>
      </c>
      <c r="D34" s="477">
        <v>12</v>
      </c>
      <c r="E34" s="560">
        <v>100</v>
      </c>
      <c r="F34" s="615"/>
      <c r="G34" s="473">
        <f t="shared" si="4"/>
        <v>0</v>
      </c>
      <c r="H34" s="460"/>
      <c r="I34" s="577"/>
      <c r="J34" s="631"/>
      <c r="K34" s="535"/>
      <c r="L34" s="548">
        <v>12</v>
      </c>
      <c r="M34" s="580">
        <v>100</v>
      </c>
      <c r="N34" s="639"/>
      <c r="O34" s="549">
        <f>L34*N34</f>
        <v>0</v>
      </c>
    </row>
    <row r="35" spans="1:15" x14ac:dyDescent="0.25">
      <c r="A35" s="690"/>
      <c r="B35" s="499" t="s">
        <v>169</v>
      </c>
      <c r="C35" s="523" t="s">
        <v>170</v>
      </c>
      <c r="D35" s="506">
        <v>12</v>
      </c>
      <c r="E35" s="568">
        <v>100</v>
      </c>
      <c r="F35" s="615"/>
      <c r="G35" s="471">
        <f t="shared" si="4"/>
        <v>0</v>
      </c>
      <c r="H35" s="498"/>
      <c r="I35" s="531"/>
      <c r="J35" s="632"/>
      <c r="K35" s="537"/>
      <c r="L35" s="550">
        <v>12</v>
      </c>
      <c r="M35" s="581">
        <v>100</v>
      </c>
      <c r="N35" s="640"/>
      <c r="O35" s="549">
        <f>L35*N35</f>
        <v>0</v>
      </c>
    </row>
    <row r="36" spans="1:15" x14ac:dyDescent="0.25">
      <c r="A36" s="690"/>
      <c r="B36" s="488" t="s">
        <v>40</v>
      </c>
      <c r="C36" s="524" t="s">
        <v>171</v>
      </c>
      <c r="D36" s="501">
        <v>24</v>
      </c>
      <c r="E36" s="569">
        <v>50</v>
      </c>
      <c r="F36" s="620"/>
      <c r="G36" s="471">
        <f t="shared" si="4"/>
        <v>0</v>
      </c>
      <c r="H36" s="460"/>
      <c r="I36" s="528"/>
      <c r="J36" s="632"/>
      <c r="K36" s="538"/>
      <c r="L36" s="540"/>
      <c r="M36" s="536"/>
      <c r="N36" s="641"/>
      <c r="O36" s="19"/>
    </row>
    <row r="37" spans="1:15" ht="12.75" customHeight="1" thickBot="1" x14ac:dyDescent="0.3">
      <c r="A37" s="690"/>
      <c r="B37" s="500" t="s">
        <v>50</v>
      </c>
      <c r="C37" s="525" t="s">
        <v>37</v>
      </c>
      <c r="D37" s="477">
        <v>52</v>
      </c>
      <c r="E37" s="560">
        <v>50</v>
      </c>
      <c r="F37" s="615"/>
      <c r="G37" s="473">
        <f t="shared" si="4"/>
        <v>0</v>
      </c>
      <c r="H37" s="539">
        <v>52</v>
      </c>
      <c r="I37" s="582">
        <v>50</v>
      </c>
      <c r="J37" s="617"/>
      <c r="K37" s="509">
        <f>H37*J37</f>
        <v>0</v>
      </c>
      <c r="L37" s="501">
        <v>52</v>
      </c>
      <c r="M37" s="583">
        <v>50</v>
      </c>
      <c r="N37" s="636"/>
      <c r="O37" s="473">
        <f>L37*N37</f>
        <v>0</v>
      </c>
    </row>
    <row r="38" spans="1:15" ht="13.8" thickBot="1" x14ac:dyDescent="0.3">
      <c r="A38" s="505"/>
      <c r="B38" s="676" t="s">
        <v>45</v>
      </c>
      <c r="C38" s="677"/>
      <c r="D38" s="462"/>
      <c r="E38" s="476"/>
      <c r="F38" s="463"/>
      <c r="G38" s="464">
        <f>+SUM(G28:G37)</f>
        <v>0</v>
      </c>
      <c r="H38" s="465"/>
      <c r="I38" s="465"/>
      <c r="J38" s="463"/>
      <c r="K38" s="464">
        <f>+SUM(K28:K37)</f>
        <v>0</v>
      </c>
      <c r="L38" s="465"/>
      <c r="M38" s="553"/>
      <c r="N38" s="490"/>
      <c r="O38" s="466">
        <f>+SUM(O28:O37)</f>
        <v>0</v>
      </c>
    </row>
    <row r="39" spans="1:15" s="30" customFormat="1" ht="16.2" thickBot="1" x14ac:dyDescent="0.3">
      <c r="B39" s="593"/>
      <c r="C39" s="594" t="s">
        <v>46</v>
      </c>
      <c r="D39" s="32"/>
      <c r="E39" s="602"/>
      <c r="F39" s="596"/>
      <c r="G39" s="597">
        <f>+G9+G27+G38</f>
        <v>0</v>
      </c>
      <c r="H39" s="598"/>
      <c r="I39" s="598"/>
      <c r="J39" s="599"/>
      <c r="K39" s="597">
        <f>+K9+K27+K38</f>
        <v>0</v>
      </c>
      <c r="L39" s="600"/>
      <c r="M39" s="598"/>
      <c r="N39" s="601"/>
      <c r="O39" s="597">
        <f>+O9+O27+O38</f>
        <v>0</v>
      </c>
    </row>
    <row r="40" spans="1:15" s="30" customFormat="1" ht="15.6" x14ac:dyDescent="0.25">
      <c r="B40" s="588"/>
      <c r="C40" s="31"/>
      <c r="D40" s="595"/>
      <c r="E40" s="32"/>
      <c r="F40" s="33"/>
      <c r="G40" s="34"/>
      <c r="H40" s="35"/>
      <c r="I40" s="35"/>
      <c r="J40" s="36"/>
      <c r="K40" s="34"/>
      <c r="L40" s="35"/>
      <c r="M40" s="35"/>
      <c r="N40" s="37"/>
      <c r="O40" s="34"/>
    </row>
    <row r="41" spans="1:15" s="30" customFormat="1" ht="12" customHeight="1" x14ac:dyDescent="0.25">
      <c r="B41" s="588"/>
      <c r="C41" s="31"/>
      <c r="D41" s="32"/>
      <c r="E41" s="32"/>
      <c r="F41" s="33"/>
      <c r="G41" s="454"/>
      <c r="H41" s="35"/>
      <c r="I41" s="35"/>
      <c r="J41" s="33"/>
      <c r="K41" s="454"/>
      <c r="L41" s="35"/>
      <c r="M41" s="35"/>
      <c r="N41" s="33"/>
      <c r="O41" s="454"/>
    </row>
    <row r="42" spans="1:15" s="610" customFormat="1" ht="22.8" x14ac:dyDescent="0.25">
      <c r="A42" s="603"/>
      <c r="B42" s="604"/>
      <c r="C42" s="605"/>
      <c r="D42" s="606"/>
      <c r="E42" s="606"/>
      <c r="F42" s="607"/>
      <c r="G42" s="608"/>
      <c r="H42" s="609"/>
      <c r="I42" s="609"/>
      <c r="J42" s="607"/>
      <c r="K42" s="608"/>
      <c r="L42" s="609"/>
      <c r="M42" s="609"/>
      <c r="N42" s="607"/>
      <c r="O42" s="608"/>
    </row>
    <row r="43" spans="1:15" s="30" customFormat="1" ht="15.6" x14ac:dyDescent="0.25">
      <c r="B43" s="588"/>
      <c r="C43" s="31"/>
      <c r="D43" s="32"/>
      <c r="E43" s="32"/>
      <c r="F43" s="33"/>
      <c r="G43" s="454"/>
      <c r="H43" s="35"/>
      <c r="I43" s="35"/>
      <c r="J43" s="33"/>
      <c r="K43" s="454"/>
      <c r="L43" s="35"/>
      <c r="M43" s="35"/>
      <c r="N43" s="33"/>
      <c r="O43" s="454"/>
    </row>
    <row r="44" spans="1:15" s="30" customFormat="1" ht="15.6" x14ac:dyDescent="0.25">
      <c r="B44" s="588"/>
      <c r="C44" s="31"/>
      <c r="D44" s="32"/>
      <c r="E44" s="32"/>
      <c r="F44" s="33"/>
      <c r="G44" s="454"/>
      <c r="H44" s="35"/>
      <c r="I44" s="655"/>
      <c r="J44" s="33"/>
      <c r="K44" s="454"/>
      <c r="L44" s="35"/>
      <c r="M44" s="35"/>
      <c r="N44" s="33"/>
      <c r="O44" s="454"/>
    </row>
    <row r="45" spans="1:15" s="30" customFormat="1" ht="15.6" x14ac:dyDescent="0.25">
      <c r="B45" s="589"/>
      <c r="C45" s="590"/>
      <c r="D45" s="32"/>
      <c r="E45" s="32"/>
      <c r="F45" s="33"/>
      <c r="G45" s="454"/>
      <c r="H45" s="35"/>
      <c r="I45" s="35"/>
      <c r="J45" s="33"/>
      <c r="K45" s="454"/>
      <c r="L45" s="35"/>
      <c r="M45" s="35"/>
      <c r="N45" s="33"/>
      <c r="O45" s="454"/>
    </row>
    <row r="46" spans="1:15" ht="16.2" thickBot="1" x14ac:dyDescent="0.3">
      <c r="A46" s="6"/>
      <c r="B46" s="585"/>
      <c r="D46" s="551"/>
      <c r="E46" s="551"/>
      <c r="J46" s="592"/>
      <c r="N46" s="17"/>
    </row>
    <row r="47" spans="1:15" ht="16.5" customHeight="1" thickBot="1" x14ac:dyDescent="0.3">
      <c r="A47" s="7"/>
      <c r="B47" s="586" t="s">
        <v>183</v>
      </c>
      <c r="C47" s="669">
        <f>+G39+K39+O39</f>
        <v>0</v>
      </c>
      <c r="D47" s="670"/>
      <c r="E47" s="13"/>
      <c r="F47" s="10"/>
      <c r="G47" s="6"/>
      <c r="H47" s="6"/>
      <c r="I47" s="6"/>
      <c r="L47" s="38"/>
      <c r="M47" s="38"/>
      <c r="N47" s="13"/>
    </row>
    <row r="48" spans="1:15" ht="16.5" customHeight="1" thickBot="1" x14ac:dyDescent="0.3">
      <c r="A48" s="611"/>
      <c r="B48" s="586" t="s">
        <v>181</v>
      </c>
      <c r="C48" s="693">
        <f>21*C47/100</f>
        <v>0</v>
      </c>
      <c r="D48" s="694"/>
      <c r="E48" s="13"/>
      <c r="F48" s="10"/>
      <c r="G48" s="6"/>
      <c r="H48" s="6"/>
      <c r="I48" s="6"/>
      <c r="L48" s="38"/>
      <c r="M48" s="38"/>
      <c r="N48" s="13"/>
    </row>
    <row r="49" spans="1:15" ht="16.5" customHeight="1" thickBot="1" x14ac:dyDescent="0.3">
      <c r="A49" s="7"/>
      <c r="B49" s="612" t="s">
        <v>182</v>
      </c>
      <c r="C49" s="669">
        <f>C47+C48</f>
        <v>0</v>
      </c>
      <c r="D49" s="670"/>
      <c r="E49" s="13"/>
      <c r="F49" s="10"/>
      <c r="G49" s="6"/>
      <c r="H49" s="6"/>
      <c r="I49" s="6"/>
      <c r="L49" s="38"/>
      <c r="M49" s="38"/>
      <c r="N49" s="13"/>
    </row>
    <row r="50" spans="1:15" ht="13.8" thickBot="1" x14ac:dyDescent="0.3">
      <c r="A50" s="15"/>
      <c r="B50" s="585"/>
      <c r="C50" s="587"/>
      <c r="D50" s="653"/>
      <c r="E50" s="13"/>
      <c r="F50" s="26"/>
      <c r="G50" s="25"/>
      <c r="H50" s="25"/>
      <c r="I50" s="25"/>
      <c r="J50" s="25"/>
      <c r="K50" s="25"/>
      <c r="L50" s="25"/>
      <c r="M50" s="25"/>
      <c r="N50" s="27"/>
      <c r="O50" s="25"/>
    </row>
    <row r="51" spans="1:15" ht="13.8" thickBot="1" x14ac:dyDescent="0.3">
      <c r="A51" s="15"/>
      <c r="B51" s="613" t="s">
        <v>188</v>
      </c>
      <c r="C51" s="584"/>
      <c r="D51" s="13"/>
      <c r="E51" s="13"/>
      <c r="F51" s="26"/>
      <c r="G51" s="591"/>
      <c r="H51" s="591"/>
      <c r="I51" s="25"/>
      <c r="J51" s="591"/>
      <c r="K51" s="25"/>
      <c r="L51" s="25"/>
      <c r="M51" s="25"/>
      <c r="N51" s="27"/>
      <c r="O51" s="25"/>
    </row>
    <row r="52" spans="1:15" ht="13.8" thickBot="1" x14ac:dyDescent="0.3">
      <c r="A52" s="15"/>
      <c r="B52" s="656" t="s">
        <v>184</v>
      </c>
      <c r="C52" s="642"/>
      <c r="D52" s="13"/>
      <c r="E52" s="13"/>
      <c r="F52" s="16"/>
      <c r="G52" s="552"/>
      <c r="H52" s="7"/>
      <c r="I52" s="6"/>
      <c r="J52" s="592"/>
      <c r="L52" s="6"/>
      <c r="M52" s="6"/>
      <c r="N52" s="13"/>
    </row>
    <row r="53" spans="1:15" ht="13.8" thickBot="1" x14ac:dyDescent="0.3">
      <c r="A53" s="6"/>
      <c r="B53" s="18"/>
      <c r="D53" s="13"/>
      <c r="E53" s="13"/>
      <c r="F53" s="10"/>
      <c r="G53" s="7"/>
      <c r="H53" s="7"/>
      <c r="I53" s="6"/>
      <c r="L53" s="6"/>
      <c r="M53" s="6"/>
      <c r="N53" s="13"/>
    </row>
    <row r="54" spans="1:15" ht="15.6" customHeight="1" thickBot="1" x14ac:dyDescent="0.3">
      <c r="A54" s="6"/>
      <c r="B54" s="691" t="s">
        <v>193</v>
      </c>
      <c r="C54" s="692"/>
      <c r="D54" s="665"/>
      <c r="E54" s="667"/>
      <c r="F54" s="10"/>
      <c r="G54" s="592"/>
      <c r="H54" s="552"/>
      <c r="I54" s="552"/>
      <c r="L54" s="6"/>
      <c r="M54" s="6"/>
      <c r="N54" s="13"/>
    </row>
    <row r="55" spans="1:15" ht="13.8" thickBot="1" x14ac:dyDescent="0.3">
      <c r="A55" s="6"/>
      <c r="B55" s="691" t="s">
        <v>194</v>
      </c>
      <c r="C55" s="692"/>
      <c r="D55" s="666"/>
      <c r="E55"/>
      <c r="F55" s="10"/>
      <c r="G55" s="10"/>
      <c r="H55" s="6"/>
      <c r="I55" s="6"/>
      <c r="L55" s="6"/>
      <c r="M55" s="6"/>
      <c r="N55" s="13"/>
    </row>
    <row r="56" spans="1:15" ht="15" customHeight="1" thickBot="1" x14ac:dyDescent="0.3">
      <c r="A56" s="6"/>
      <c r="B56" s="691" t="s">
        <v>195</v>
      </c>
      <c r="C56" s="692"/>
      <c r="D56" s="668"/>
      <c r="E56" s="667"/>
      <c r="F56" s="10"/>
      <c r="G56" s="6"/>
      <c r="H56" s="6"/>
      <c r="I56" s="6"/>
      <c r="L56" s="6"/>
      <c r="M56" s="6"/>
      <c r="N56" s="13"/>
    </row>
    <row r="57" spans="1:15" ht="17.399999999999999" customHeight="1" thickBot="1" x14ac:dyDescent="0.3">
      <c r="A57"/>
      <c r="B57" s="201"/>
      <c r="C57" s="7"/>
      <c r="D57" s="8"/>
      <c r="E57" s="8"/>
      <c r="F57" s="29"/>
      <c r="G57" s="12"/>
      <c r="H57" s="13"/>
      <c r="I57" s="13"/>
    </row>
    <row r="58" spans="1:15" ht="13.8" thickBot="1" x14ac:dyDescent="0.3">
      <c r="A58" s="6"/>
      <c r="B58" s="767" t="s">
        <v>196</v>
      </c>
      <c r="C58" s="768"/>
      <c r="D58" s="769"/>
      <c r="E58" s="8"/>
      <c r="F58" s="29"/>
      <c r="G58" s="12"/>
      <c r="H58" s="27"/>
      <c r="I58" s="27"/>
    </row>
    <row r="59" spans="1:15" x14ac:dyDescent="0.25">
      <c r="B59" s="765"/>
      <c r="C59" s="587"/>
      <c r="D59" s="766"/>
      <c r="E59" s="17"/>
      <c r="F59" s="29"/>
      <c r="G59" s="12"/>
      <c r="H59" s="13"/>
      <c r="I59" s="13"/>
    </row>
    <row r="60" spans="1:15" x14ac:dyDescent="0.25">
      <c r="F60" s="29"/>
      <c r="G60" s="12"/>
      <c r="H60" s="27"/>
      <c r="I60" s="27"/>
      <c r="K60" s="10"/>
    </row>
    <row r="61" spans="1:15" x14ac:dyDescent="0.25">
      <c r="H61" s="28"/>
      <c r="I61" s="28"/>
    </row>
    <row r="62" spans="1:15" x14ac:dyDescent="0.25">
      <c r="H62" s="28"/>
      <c r="I62" s="28"/>
      <c r="O62" s="7"/>
    </row>
  </sheetData>
  <sheetProtection password="EC30" sheet="1" selectLockedCells="1"/>
  <mergeCells count="18">
    <mergeCell ref="C48:D48"/>
    <mergeCell ref="C49:D49"/>
    <mergeCell ref="B58:D58"/>
    <mergeCell ref="C47:D47"/>
    <mergeCell ref="L1:O1"/>
    <mergeCell ref="B9:C9"/>
    <mergeCell ref="B27:C27"/>
    <mergeCell ref="B38:C38"/>
    <mergeCell ref="A1:B1"/>
    <mergeCell ref="A3:A8"/>
    <mergeCell ref="D1:G1"/>
    <mergeCell ref="H1:K1"/>
    <mergeCell ref="A10:A27"/>
    <mergeCell ref="A28:A33"/>
    <mergeCell ref="A34:A37"/>
    <mergeCell ref="B54:C54"/>
    <mergeCell ref="B55:C55"/>
    <mergeCell ref="B56:C56"/>
  </mergeCells>
  <pageMargins left="0" right="0" top="0" bottom="0" header="0" footer="0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94"/>
  <sheetViews>
    <sheetView topLeftCell="A7" zoomScale="80" zoomScaleNormal="80" workbookViewId="0">
      <selection activeCell="C32" sqref="C32"/>
    </sheetView>
  </sheetViews>
  <sheetFormatPr baseColWidth="10" defaultRowHeight="13.2" x14ac:dyDescent="0.25"/>
  <cols>
    <col min="1" max="3" width="6.6640625" customWidth="1"/>
    <col min="4" max="4" width="10.44140625" customWidth="1"/>
    <col min="5" max="5" width="9" customWidth="1"/>
    <col min="6" max="6" width="7.5546875" bestFit="1" customWidth="1"/>
    <col min="7" max="7" width="9.5546875" customWidth="1"/>
    <col min="8" max="9" width="9.44140625" customWidth="1"/>
    <col min="10" max="10" width="8.88671875" customWidth="1"/>
    <col min="11" max="11" width="8.5546875" customWidth="1"/>
    <col min="12" max="12" width="8.33203125" customWidth="1"/>
    <col min="13" max="14" width="8.88671875" customWidth="1"/>
    <col min="15" max="15" width="7.88671875" customWidth="1"/>
    <col min="16" max="16" width="9.6640625" customWidth="1"/>
    <col min="17" max="17" width="8.44140625" customWidth="1"/>
    <col min="18" max="18" width="8.5546875" customWidth="1"/>
    <col min="19" max="19" width="9.5546875" customWidth="1"/>
    <col min="20" max="20" width="10.88671875" customWidth="1"/>
    <col min="21" max="21" width="8.5546875" customWidth="1"/>
    <col min="22" max="22" width="8.33203125" customWidth="1"/>
    <col min="23" max="24" width="9.6640625" customWidth="1"/>
    <col min="25" max="25" width="10.109375" customWidth="1"/>
    <col min="26" max="26" width="13.109375" customWidth="1"/>
    <col min="27" max="27" width="12.109375" bestFit="1" customWidth="1"/>
    <col min="28" max="29" width="8.6640625" customWidth="1"/>
    <col min="30" max="30" width="7.6640625" customWidth="1"/>
    <col min="31" max="31" width="9" customWidth="1"/>
    <col min="32" max="32" width="8.6640625" customWidth="1"/>
    <col min="33" max="33" width="15.88671875" customWidth="1"/>
    <col min="34" max="34" width="9.109375" customWidth="1"/>
    <col min="257" max="259" width="6.6640625" customWidth="1"/>
    <col min="260" max="260" width="10.44140625" customWidth="1"/>
    <col min="261" max="261" width="9" customWidth="1"/>
    <col min="262" max="262" width="7.5546875" bestFit="1" customWidth="1"/>
    <col min="263" max="263" width="9.5546875" customWidth="1"/>
    <col min="264" max="265" width="9.44140625" customWidth="1"/>
    <col min="266" max="266" width="8.88671875" customWidth="1"/>
    <col min="267" max="267" width="8.5546875" customWidth="1"/>
    <col min="268" max="268" width="8.33203125" customWidth="1"/>
    <col min="269" max="270" width="8.88671875" customWidth="1"/>
    <col min="271" max="271" width="7.88671875" customWidth="1"/>
    <col min="272" max="272" width="9.6640625" customWidth="1"/>
    <col min="273" max="273" width="8.44140625" customWidth="1"/>
    <col min="274" max="274" width="8.5546875" customWidth="1"/>
    <col min="275" max="275" width="9.5546875" customWidth="1"/>
    <col min="276" max="276" width="10.88671875" customWidth="1"/>
    <col min="277" max="277" width="8.5546875" customWidth="1"/>
    <col min="278" max="278" width="8.33203125" customWidth="1"/>
    <col min="279" max="280" width="9.6640625" customWidth="1"/>
    <col min="281" max="281" width="10.109375" customWidth="1"/>
    <col min="282" max="282" width="13.109375" customWidth="1"/>
    <col min="283" max="283" width="12.109375" bestFit="1" customWidth="1"/>
    <col min="284" max="285" width="8.6640625" customWidth="1"/>
    <col min="286" max="286" width="7.6640625" customWidth="1"/>
    <col min="287" max="287" width="9" customWidth="1"/>
    <col min="288" max="288" width="8.6640625" customWidth="1"/>
    <col min="289" max="289" width="15.88671875" customWidth="1"/>
    <col min="290" max="290" width="9.109375" customWidth="1"/>
    <col min="513" max="515" width="6.6640625" customWidth="1"/>
    <col min="516" max="516" width="10.44140625" customWidth="1"/>
    <col min="517" max="517" width="9" customWidth="1"/>
    <col min="518" max="518" width="7.5546875" bestFit="1" customWidth="1"/>
    <col min="519" max="519" width="9.5546875" customWidth="1"/>
    <col min="520" max="521" width="9.44140625" customWidth="1"/>
    <col min="522" max="522" width="8.88671875" customWidth="1"/>
    <col min="523" max="523" width="8.5546875" customWidth="1"/>
    <col min="524" max="524" width="8.33203125" customWidth="1"/>
    <col min="525" max="526" width="8.88671875" customWidth="1"/>
    <col min="527" max="527" width="7.88671875" customWidth="1"/>
    <col min="528" max="528" width="9.6640625" customWidth="1"/>
    <col min="529" max="529" width="8.44140625" customWidth="1"/>
    <col min="530" max="530" width="8.5546875" customWidth="1"/>
    <col min="531" max="531" width="9.5546875" customWidth="1"/>
    <col min="532" max="532" width="10.88671875" customWidth="1"/>
    <col min="533" max="533" width="8.5546875" customWidth="1"/>
    <col min="534" max="534" width="8.33203125" customWidth="1"/>
    <col min="535" max="536" width="9.6640625" customWidth="1"/>
    <col min="537" max="537" width="10.109375" customWidth="1"/>
    <col min="538" max="538" width="13.109375" customWidth="1"/>
    <col min="539" max="539" width="12.109375" bestFit="1" customWidth="1"/>
    <col min="540" max="541" width="8.6640625" customWidth="1"/>
    <col min="542" max="542" width="7.6640625" customWidth="1"/>
    <col min="543" max="543" width="9" customWidth="1"/>
    <col min="544" max="544" width="8.6640625" customWidth="1"/>
    <col min="545" max="545" width="15.88671875" customWidth="1"/>
    <col min="546" max="546" width="9.109375" customWidth="1"/>
    <col min="769" max="771" width="6.6640625" customWidth="1"/>
    <col min="772" max="772" width="10.44140625" customWidth="1"/>
    <col min="773" max="773" width="9" customWidth="1"/>
    <col min="774" max="774" width="7.5546875" bestFit="1" customWidth="1"/>
    <col min="775" max="775" width="9.5546875" customWidth="1"/>
    <col min="776" max="777" width="9.44140625" customWidth="1"/>
    <col min="778" max="778" width="8.88671875" customWidth="1"/>
    <col min="779" max="779" width="8.5546875" customWidth="1"/>
    <col min="780" max="780" width="8.33203125" customWidth="1"/>
    <col min="781" max="782" width="8.88671875" customWidth="1"/>
    <col min="783" max="783" width="7.88671875" customWidth="1"/>
    <col min="784" max="784" width="9.6640625" customWidth="1"/>
    <col min="785" max="785" width="8.44140625" customWidth="1"/>
    <col min="786" max="786" width="8.5546875" customWidth="1"/>
    <col min="787" max="787" width="9.5546875" customWidth="1"/>
    <col min="788" max="788" width="10.88671875" customWidth="1"/>
    <col min="789" max="789" width="8.5546875" customWidth="1"/>
    <col min="790" max="790" width="8.33203125" customWidth="1"/>
    <col min="791" max="792" width="9.6640625" customWidth="1"/>
    <col min="793" max="793" width="10.109375" customWidth="1"/>
    <col min="794" max="794" width="13.109375" customWidth="1"/>
    <col min="795" max="795" width="12.109375" bestFit="1" customWidth="1"/>
    <col min="796" max="797" width="8.6640625" customWidth="1"/>
    <col min="798" max="798" width="7.6640625" customWidth="1"/>
    <col min="799" max="799" width="9" customWidth="1"/>
    <col min="800" max="800" width="8.6640625" customWidth="1"/>
    <col min="801" max="801" width="15.88671875" customWidth="1"/>
    <col min="802" max="802" width="9.109375" customWidth="1"/>
    <col min="1025" max="1027" width="6.6640625" customWidth="1"/>
    <col min="1028" max="1028" width="10.44140625" customWidth="1"/>
    <col min="1029" max="1029" width="9" customWidth="1"/>
    <col min="1030" max="1030" width="7.5546875" bestFit="1" customWidth="1"/>
    <col min="1031" max="1031" width="9.5546875" customWidth="1"/>
    <col min="1032" max="1033" width="9.44140625" customWidth="1"/>
    <col min="1034" max="1034" width="8.88671875" customWidth="1"/>
    <col min="1035" max="1035" width="8.5546875" customWidth="1"/>
    <col min="1036" max="1036" width="8.33203125" customWidth="1"/>
    <col min="1037" max="1038" width="8.88671875" customWidth="1"/>
    <col min="1039" max="1039" width="7.88671875" customWidth="1"/>
    <col min="1040" max="1040" width="9.6640625" customWidth="1"/>
    <col min="1041" max="1041" width="8.44140625" customWidth="1"/>
    <col min="1042" max="1042" width="8.5546875" customWidth="1"/>
    <col min="1043" max="1043" width="9.5546875" customWidth="1"/>
    <col min="1044" max="1044" width="10.88671875" customWidth="1"/>
    <col min="1045" max="1045" width="8.5546875" customWidth="1"/>
    <col min="1046" max="1046" width="8.33203125" customWidth="1"/>
    <col min="1047" max="1048" width="9.6640625" customWidth="1"/>
    <col min="1049" max="1049" width="10.109375" customWidth="1"/>
    <col min="1050" max="1050" width="13.109375" customWidth="1"/>
    <col min="1051" max="1051" width="12.109375" bestFit="1" customWidth="1"/>
    <col min="1052" max="1053" width="8.6640625" customWidth="1"/>
    <col min="1054" max="1054" width="7.6640625" customWidth="1"/>
    <col min="1055" max="1055" width="9" customWidth="1"/>
    <col min="1056" max="1056" width="8.6640625" customWidth="1"/>
    <col min="1057" max="1057" width="15.88671875" customWidth="1"/>
    <col min="1058" max="1058" width="9.109375" customWidth="1"/>
    <col min="1281" max="1283" width="6.6640625" customWidth="1"/>
    <col min="1284" max="1284" width="10.44140625" customWidth="1"/>
    <col min="1285" max="1285" width="9" customWidth="1"/>
    <col min="1286" max="1286" width="7.5546875" bestFit="1" customWidth="1"/>
    <col min="1287" max="1287" width="9.5546875" customWidth="1"/>
    <col min="1288" max="1289" width="9.44140625" customWidth="1"/>
    <col min="1290" max="1290" width="8.88671875" customWidth="1"/>
    <col min="1291" max="1291" width="8.5546875" customWidth="1"/>
    <col min="1292" max="1292" width="8.33203125" customWidth="1"/>
    <col min="1293" max="1294" width="8.88671875" customWidth="1"/>
    <col min="1295" max="1295" width="7.88671875" customWidth="1"/>
    <col min="1296" max="1296" width="9.6640625" customWidth="1"/>
    <col min="1297" max="1297" width="8.44140625" customWidth="1"/>
    <col min="1298" max="1298" width="8.5546875" customWidth="1"/>
    <col min="1299" max="1299" width="9.5546875" customWidth="1"/>
    <col min="1300" max="1300" width="10.88671875" customWidth="1"/>
    <col min="1301" max="1301" width="8.5546875" customWidth="1"/>
    <col min="1302" max="1302" width="8.33203125" customWidth="1"/>
    <col min="1303" max="1304" width="9.6640625" customWidth="1"/>
    <col min="1305" max="1305" width="10.109375" customWidth="1"/>
    <col min="1306" max="1306" width="13.109375" customWidth="1"/>
    <col min="1307" max="1307" width="12.109375" bestFit="1" customWidth="1"/>
    <col min="1308" max="1309" width="8.6640625" customWidth="1"/>
    <col min="1310" max="1310" width="7.6640625" customWidth="1"/>
    <col min="1311" max="1311" width="9" customWidth="1"/>
    <col min="1312" max="1312" width="8.6640625" customWidth="1"/>
    <col min="1313" max="1313" width="15.88671875" customWidth="1"/>
    <col min="1314" max="1314" width="9.109375" customWidth="1"/>
    <col min="1537" max="1539" width="6.6640625" customWidth="1"/>
    <col min="1540" max="1540" width="10.44140625" customWidth="1"/>
    <col min="1541" max="1541" width="9" customWidth="1"/>
    <col min="1542" max="1542" width="7.5546875" bestFit="1" customWidth="1"/>
    <col min="1543" max="1543" width="9.5546875" customWidth="1"/>
    <col min="1544" max="1545" width="9.44140625" customWidth="1"/>
    <col min="1546" max="1546" width="8.88671875" customWidth="1"/>
    <col min="1547" max="1547" width="8.5546875" customWidth="1"/>
    <col min="1548" max="1548" width="8.33203125" customWidth="1"/>
    <col min="1549" max="1550" width="8.88671875" customWidth="1"/>
    <col min="1551" max="1551" width="7.88671875" customWidth="1"/>
    <col min="1552" max="1552" width="9.6640625" customWidth="1"/>
    <col min="1553" max="1553" width="8.44140625" customWidth="1"/>
    <col min="1554" max="1554" width="8.5546875" customWidth="1"/>
    <col min="1555" max="1555" width="9.5546875" customWidth="1"/>
    <col min="1556" max="1556" width="10.88671875" customWidth="1"/>
    <col min="1557" max="1557" width="8.5546875" customWidth="1"/>
    <col min="1558" max="1558" width="8.33203125" customWidth="1"/>
    <col min="1559" max="1560" width="9.6640625" customWidth="1"/>
    <col min="1561" max="1561" width="10.109375" customWidth="1"/>
    <col min="1562" max="1562" width="13.109375" customWidth="1"/>
    <col min="1563" max="1563" width="12.109375" bestFit="1" customWidth="1"/>
    <col min="1564" max="1565" width="8.6640625" customWidth="1"/>
    <col min="1566" max="1566" width="7.6640625" customWidth="1"/>
    <col min="1567" max="1567" width="9" customWidth="1"/>
    <col min="1568" max="1568" width="8.6640625" customWidth="1"/>
    <col min="1569" max="1569" width="15.88671875" customWidth="1"/>
    <col min="1570" max="1570" width="9.109375" customWidth="1"/>
    <col min="1793" max="1795" width="6.6640625" customWidth="1"/>
    <col min="1796" max="1796" width="10.44140625" customWidth="1"/>
    <col min="1797" max="1797" width="9" customWidth="1"/>
    <col min="1798" max="1798" width="7.5546875" bestFit="1" customWidth="1"/>
    <col min="1799" max="1799" width="9.5546875" customWidth="1"/>
    <col min="1800" max="1801" width="9.44140625" customWidth="1"/>
    <col min="1802" max="1802" width="8.88671875" customWidth="1"/>
    <col min="1803" max="1803" width="8.5546875" customWidth="1"/>
    <col min="1804" max="1804" width="8.33203125" customWidth="1"/>
    <col min="1805" max="1806" width="8.88671875" customWidth="1"/>
    <col min="1807" max="1807" width="7.88671875" customWidth="1"/>
    <col min="1808" max="1808" width="9.6640625" customWidth="1"/>
    <col min="1809" max="1809" width="8.44140625" customWidth="1"/>
    <col min="1810" max="1810" width="8.5546875" customWidth="1"/>
    <col min="1811" max="1811" width="9.5546875" customWidth="1"/>
    <col min="1812" max="1812" width="10.88671875" customWidth="1"/>
    <col min="1813" max="1813" width="8.5546875" customWidth="1"/>
    <col min="1814" max="1814" width="8.33203125" customWidth="1"/>
    <col min="1815" max="1816" width="9.6640625" customWidth="1"/>
    <col min="1817" max="1817" width="10.109375" customWidth="1"/>
    <col min="1818" max="1818" width="13.109375" customWidth="1"/>
    <col min="1819" max="1819" width="12.109375" bestFit="1" customWidth="1"/>
    <col min="1820" max="1821" width="8.6640625" customWidth="1"/>
    <col min="1822" max="1822" width="7.6640625" customWidth="1"/>
    <col min="1823" max="1823" width="9" customWidth="1"/>
    <col min="1824" max="1824" width="8.6640625" customWidth="1"/>
    <col min="1825" max="1825" width="15.88671875" customWidth="1"/>
    <col min="1826" max="1826" width="9.109375" customWidth="1"/>
    <col min="2049" max="2051" width="6.6640625" customWidth="1"/>
    <col min="2052" max="2052" width="10.44140625" customWidth="1"/>
    <col min="2053" max="2053" width="9" customWidth="1"/>
    <col min="2054" max="2054" width="7.5546875" bestFit="1" customWidth="1"/>
    <col min="2055" max="2055" width="9.5546875" customWidth="1"/>
    <col min="2056" max="2057" width="9.44140625" customWidth="1"/>
    <col min="2058" max="2058" width="8.88671875" customWidth="1"/>
    <col min="2059" max="2059" width="8.5546875" customWidth="1"/>
    <col min="2060" max="2060" width="8.33203125" customWidth="1"/>
    <col min="2061" max="2062" width="8.88671875" customWidth="1"/>
    <col min="2063" max="2063" width="7.88671875" customWidth="1"/>
    <col min="2064" max="2064" width="9.6640625" customWidth="1"/>
    <col min="2065" max="2065" width="8.44140625" customWidth="1"/>
    <col min="2066" max="2066" width="8.5546875" customWidth="1"/>
    <col min="2067" max="2067" width="9.5546875" customWidth="1"/>
    <col min="2068" max="2068" width="10.88671875" customWidth="1"/>
    <col min="2069" max="2069" width="8.5546875" customWidth="1"/>
    <col min="2070" max="2070" width="8.33203125" customWidth="1"/>
    <col min="2071" max="2072" width="9.6640625" customWidth="1"/>
    <col min="2073" max="2073" width="10.109375" customWidth="1"/>
    <col min="2074" max="2074" width="13.109375" customWidth="1"/>
    <col min="2075" max="2075" width="12.109375" bestFit="1" customWidth="1"/>
    <col min="2076" max="2077" width="8.6640625" customWidth="1"/>
    <col min="2078" max="2078" width="7.6640625" customWidth="1"/>
    <col min="2079" max="2079" width="9" customWidth="1"/>
    <col min="2080" max="2080" width="8.6640625" customWidth="1"/>
    <col min="2081" max="2081" width="15.88671875" customWidth="1"/>
    <col min="2082" max="2082" width="9.109375" customWidth="1"/>
    <col min="2305" max="2307" width="6.6640625" customWidth="1"/>
    <col min="2308" max="2308" width="10.44140625" customWidth="1"/>
    <col min="2309" max="2309" width="9" customWidth="1"/>
    <col min="2310" max="2310" width="7.5546875" bestFit="1" customWidth="1"/>
    <col min="2311" max="2311" width="9.5546875" customWidth="1"/>
    <col min="2312" max="2313" width="9.44140625" customWidth="1"/>
    <col min="2314" max="2314" width="8.88671875" customWidth="1"/>
    <col min="2315" max="2315" width="8.5546875" customWidth="1"/>
    <col min="2316" max="2316" width="8.33203125" customWidth="1"/>
    <col min="2317" max="2318" width="8.88671875" customWidth="1"/>
    <col min="2319" max="2319" width="7.88671875" customWidth="1"/>
    <col min="2320" max="2320" width="9.6640625" customWidth="1"/>
    <col min="2321" max="2321" width="8.44140625" customWidth="1"/>
    <col min="2322" max="2322" width="8.5546875" customWidth="1"/>
    <col min="2323" max="2323" width="9.5546875" customWidth="1"/>
    <col min="2324" max="2324" width="10.88671875" customWidth="1"/>
    <col min="2325" max="2325" width="8.5546875" customWidth="1"/>
    <col min="2326" max="2326" width="8.33203125" customWidth="1"/>
    <col min="2327" max="2328" width="9.6640625" customWidth="1"/>
    <col min="2329" max="2329" width="10.109375" customWidth="1"/>
    <col min="2330" max="2330" width="13.109375" customWidth="1"/>
    <col min="2331" max="2331" width="12.109375" bestFit="1" customWidth="1"/>
    <col min="2332" max="2333" width="8.6640625" customWidth="1"/>
    <col min="2334" max="2334" width="7.6640625" customWidth="1"/>
    <col min="2335" max="2335" width="9" customWidth="1"/>
    <col min="2336" max="2336" width="8.6640625" customWidth="1"/>
    <col min="2337" max="2337" width="15.88671875" customWidth="1"/>
    <col min="2338" max="2338" width="9.109375" customWidth="1"/>
    <col min="2561" max="2563" width="6.6640625" customWidth="1"/>
    <col min="2564" max="2564" width="10.44140625" customWidth="1"/>
    <col min="2565" max="2565" width="9" customWidth="1"/>
    <col min="2566" max="2566" width="7.5546875" bestFit="1" customWidth="1"/>
    <col min="2567" max="2567" width="9.5546875" customWidth="1"/>
    <col min="2568" max="2569" width="9.44140625" customWidth="1"/>
    <col min="2570" max="2570" width="8.88671875" customWidth="1"/>
    <col min="2571" max="2571" width="8.5546875" customWidth="1"/>
    <col min="2572" max="2572" width="8.33203125" customWidth="1"/>
    <col min="2573" max="2574" width="8.88671875" customWidth="1"/>
    <col min="2575" max="2575" width="7.88671875" customWidth="1"/>
    <col min="2576" max="2576" width="9.6640625" customWidth="1"/>
    <col min="2577" max="2577" width="8.44140625" customWidth="1"/>
    <col min="2578" max="2578" width="8.5546875" customWidth="1"/>
    <col min="2579" max="2579" width="9.5546875" customWidth="1"/>
    <col min="2580" max="2580" width="10.88671875" customWidth="1"/>
    <col min="2581" max="2581" width="8.5546875" customWidth="1"/>
    <col min="2582" max="2582" width="8.33203125" customWidth="1"/>
    <col min="2583" max="2584" width="9.6640625" customWidth="1"/>
    <col min="2585" max="2585" width="10.109375" customWidth="1"/>
    <col min="2586" max="2586" width="13.109375" customWidth="1"/>
    <col min="2587" max="2587" width="12.109375" bestFit="1" customWidth="1"/>
    <col min="2588" max="2589" width="8.6640625" customWidth="1"/>
    <col min="2590" max="2590" width="7.6640625" customWidth="1"/>
    <col min="2591" max="2591" width="9" customWidth="1"/>
    <col min="2592" max="2592" width="8.6640625" customWidth="1"/>
    <col min="2593" max="2593" width="15.88671875" customWidth="1"/>
    <col min="2594" max="2594" width="9.109375" customWidth="1"/>
    <col min="2817" max="2819" width="6.6640625" customWidth="1"/>
    <col min="2820" max="2820" width="10.44140625" customWidth="1"/>
    <col min="2821" max="2821" width="9" customWidth="1"/>
    <col min="2822" max="2822" width="7.5546875" bestFit="1" customWidth="1"/>
    <col min="2823" max="2823" width="9.5546875" customWidth="1"/>
    <col min="2824" max="2825" width="9.44140625" customWidth="1"/>
    <col min="2826" max="2826" width="8.88671875" customWidth="1"/>
    <col min="2827" max="2827" width="8.5546875" customWidth="1"/>
    <col min="2828" max="2828" width="8.33203125" customWidth="1"/>
    <col min="2829" max="2830" width="8.88671875" customWidth="1"/>
    <col min="2831" max="2831" width="7.88671875" customWidth="1"/>
    <col min="2832" max="2832" width="9.6640625" customWidth="1"/>
    <col min="2833" max="2833" width="8.44140625" customWidth="1"/>
    <col min="2834" max="2834" width="8.5546875" customWidth="1"/>
    <col min="2835" max="2835" width="9.5546875" customWidth="1"/>
    <col min="2836" max="2836" width="10.88671875" customWidth="1"/>
    <col min="2837" max="2837" width="8.5546875" customWidth="1"/>
    <col min="2838" max="2838" width="8.33203125" customWidth="1"/>
    <col min="2839" max="2840" width="9.6640625" customWidth="1"/>
    <col min="2841" max="2841" width="10.109375" customWidth="1"/>
    <col min="2842" max="2842" width="13.109375" customWidth="1"/>
    <col min="2843" max="2843" width="12.109375" bestFit="1" customWidth="1"/>
    <col min="2844" max="2845" width="8.6640625" customWidth="1"/>
    <col min="2846" max="2846" width="7.6640625" customWidth="1"/>
    <col min="2847" max="2847" width="9" customWidth="1"/>
    <col min="2848" max="2848" width="8.6640625" customWidth="1"/>
    <col min="2849" max="2849" width="15.88671875" customWidth="1"/>
    <col min="2850" max="2850" width="9.109375" customWidth="1"/>
    <col min="3073" max="3075" width="6.6640625" customWidth="1"/>
    <col min="3076" max="3076" width="10.44140625" customWidth="1"/>
    <col min="3077" max="3077" width="9" customWidth="1"/>
    <col min="3078" max="3078" width="7.5546875" bestFit="1" customWidth="1"/>
    <col min="3079" max="3079" width="9.5546875" customWidth="1"/>
    <col min="3080" max="3081" width="9.44140625" customWidth="1"/>
    <col min="3082" max="3082" width="8.88671875" customWidth="1"/>
    <col min="3083" max="3083" width="8.5546875" customWidth="1"/>
    <col min="3084" max="3084" width="8.33203125" customWidth="1"/>
    <col min="3085" max="3086" width="8.88671875" customWidth="1"/>
    <col min="3087" max="3087" width="7.88671875" customWidth="1"/>
    <col min="3088" max="3088" width="9.6640625" customWidth="1"/>
    <col min="3089" max="3089" width="8.44140625" customWidth="1"/>
    <col min="3090" max="3090" width="8.5546875" customWidth="1"/>
    <col min="3091" max="3091" width="9.5546875" customWidth="1"/>
    <col min="3092" max="3092" width="10.88671875" customWidth="1"/>
    <col min="3093" max="3093" width="8.5546875" customWidth="1"/>
    <col min="3094" max="3094" width="8.33203125" customWidth="1"/>
    <col min="3095" max="3096" width="9.6640625" customWidth="1"/>
    <col min="3097" max="3097" width="10.109375" customWidth="1"/>
    <col min="3098" max="3098" width="13.109375" customWidth="1"/>
    <col min="3099" max="3099" width="12.109375" bestFit="1" customWidth="1"/>
    <col min="3100" max="3101" width="8.6640625" customWidth="1"/>
    <col min="3102" max="3102" width="7.6640625" customWidth="1"/>
    <col min="3103" max="3103" width="9" customWidth="1"/>
    <col min="3104" max="3104" width="8.6640625" customWidth="1"/>
    <col min="3105" max="3105" width="15.88671875" customWidth="1"/>
    <col min="3106" max="3106" width="9.109375" customWidth="1"/>
    <col min="3329" max="3331" width="6.6640625" customWidth="1"/>
    <col min="3332" max="3332" width="10.44140625" customWidth="1"/>
    <col min="3333" max="3333" width="9" customWidth="1"/>
    <col min="3334" max="3334" width="7.5546875" bestFit="1" customWidth="1"/>
    <col min="3335" max="3335" width="9.5546875" customWidth="1"/>
    <col min="3336" max="3337" width="9.44140625" customWidth="1"/>
    <col min="3338" max="3338" width="8.88671875" customWidth="1"/>
    <col min="3339" max="3339" width="8.5546875" customWidth="1"/>
    <col min="3340" max="3340" width="8.33203125" customWidth="1"/>
    <col min="3341" max="3342" width="8.88671875" customWidth="1"/>
    <col min="3343" max="3343" width="7.88671875" customWidth="1"/>
    <col min="3344" max="3344" width="9.6640625" customWidth="1"/>
    <col min="3345" max="3345" width="8.44140625" customWidth="1"/>
    <col min="3346" max="3346" width="8.5546875" customWidth="1"/>
    <col min="3347" max="3347" width="9.5546875" customWidth="1"/>
    <col min="3348" max="3348" width="10.88671875" customWidth="1"/>
    <col min="3349" max="3349" width="8.5546875" customWidth="1"/>
    <col min="3350" max="3350" width="8.33203125" customWidth="1"/>
    <col min="3351" max="3352" width="9.6640625" customWidth="1"/>
    <col min="3353" max="3353" width="10.109375" customWidth="1"/>
    <col min="3354" max="3354" width="13.109375" customWidth="1"/>
    <col min="3355" max="3355" width="12.109375" bestFit="1" customWidth="1"/>
    <col min="3356" max="3357" width="8.6640625" customWidth="1"/>
    <col min="3358" max="3358" width="7.6640625" customWidth="1"/>
    <col min="3359" max="3359" width="9" customWidth="1"/>
    <col min="3360" max="3360" width="8.6640625" customWidth="1"/>
    <col min="3361" max="3361" width="15.88671875" customWidth="1"/>
    <col min="3362" max="3362" width="9.109375" customWidth="1"/>
    <col min="3585" max="3587" width="6.6640625" customWidth="1"/>
    <col min="3588" max="3588" width="10.44140625" customWidth="1"/>
    <col min="3589" max="3589" width="9" customWidth="1"/>
    <col min="3590" max="3590" width="7.5546875" bestFit="1" customWidth="1"/>
    <col min="3591" max="3591" width="9.5546875" customWidth="1"/>
    <col min="3592" max="3593" width="9.44140625" customWidth="1"/>
    <col min="3594" max="3594" width="8.88671875" customWidth="1"/>
    <col min="3595" max="3595" width="8.5546875" customWidth="1"/>
    <col min="3596" max="3596" width="8.33203125" customWidth="1"/>
    <col min="3597" max="3598" width="8.88671875" customWidth="1"/>
    <col min="3599" max="3599" width="7.88671875" customWidth="1"/>
    <col min="3600" max="3600" width="9.6640625" customWidth="1"/>
    <col min="3601" max="3601" width="8.44140625" customWidth="1"/>
    <col min="3602" max="3602" width="8.5546875" customWidth="1"/>
    <col min="3603" max="3603" width="9.5546875" customWidth="1"/>
    <col min="3604" max="3604" width="10.88671875" customWidth="1"/>
    <col min="3605" max="3605" width="8.5546875" customWidth="1"/>
    <col min="3606" max="3606" width="8.33203125" customWidth="1"/>
    <col min="3607" max="3608" width="9.6640625" customWidth="1"/>
    <col min="3609" max="3609" width="10.109375" customWidth="1"/>
    <col min="3610" max="3610" width="13.109375" customWidth="1"/>
    <col min="3611" max="3611" width="12.109375" bestFit="1" customWidth="1"/>
    <col min="3612" max="3613" width="8.6640625" customWidth="1"/>
    <col min="3614" max="3614" width="7.6640625" customWidth="1"/>
    <col min="3615" max="3615" width="9" customWidth="1"/>
    <col min="3616" max="3616" width="8.6640625" customWidth="1"/>
    <col min="3617" max="3617" width="15.88671875" customWidth="1"/>
    <col min="3618" max="3618" width="9.109375" customWidth="1"/>
    <col min="3841" max="3843" width="6.6640625" customWidth="1"/>
    <col min="3844" max="3844" width="10.44140625" customWidth="1"/>
    <col min="3845" max="3845" width="9" customWidth="1"/>
    <col min="3846" max="3846" width="7.5546875" bestFit="1" customWidth="1"/>
    <col min="3847" max="3847" width="9.5546875" customWidth="1"/>
    <col min="3848" max="3849" width="9.44140625" customWidth="1"/>
    <col min="3850" max="3850" width="8.88671875" customWidth="1"/>
    <col min="3851" max="3851" width="8.5546875" customWidth="1"/>
    <col min="3852" max="3852" width="8.33203125" customWidth="1"/>
    <col min="3853" max="3854" width="8.88671875" customWidth="1"/>
    <col min="3855" max="3855" width="7.88671875" customWidth="1"/>
    <col min="3856" max="3856" width="9.6640625" customWidth="1"/>
    <col min="3857" max="3857" width="8.44140625" customWidth="1"/>
    <col min="3858" max="3858" width="8.5546875" customWidth="1"/>
    <col min="3859" max="3859" width="9.5546875" customWidth="1"/>
    <col min="3860" max="3860" width="10.88671875" customWidth="1"/>
    <col min="3861" max="3861" width="8.5546875" customWidth="1"/>
    <col min="3862" max="3862" width="8.33203125" customWidth="1"/>
    <col min="3863" max="3864" width="9.6640625" customWidth="1"/>
    <col min="3865" max="3865" width="10.109375" customWidth="1"/>
    <col min="3866" max="3866" width="13.109375" customWidth="1"/>
    <col min="3867" max="3867" width="12.109375" bestFit="1" customWidth="1"/>
    <col min="3868" max="3869" width="8.6640625" customWidth="1"/>
    <col min="3870" max="3870" width="7.6640625" customWidth="1"/>
    <col min="3871" max="3871" width="9" customWidth="1"/>
    <col min="3872" max="3872" width="8.6640625" customWidth="1"/>
    <col min="3873" max="3873" width="15.88671875" customWidth="1"/>
    <col min="3874" max="3874" width="9.109375" customWidth="1"/>
    <col min="4097" max="4099" width="6.6640625" customWidth="1"/>
    <col min="4100" max="4100" width="10.44140625" customWidth="1"/>
    <col min="4101" max="4101" width="9" customWidth="1"/>
    <col min="4102" max="4102" width="7.5546875" bestFit="1" customWidth="1"/>
    <col min="4103" max="4103" width="9.5546875" customWidth="1"/>
    <col min="4104" max="4105" width="9.44140625" customWidth="1"/>
    <col min="4106" max="4106" width="8.88671875" customWidth="1"/>
    <col min="4107" max="4107" width="8.5546875" customWidth="1"/>
    <col min="4108" max="4108" width="8.33203125" customWidth="1"/>
    <col min="4109" max="4110" width="8.88671875" customWidth="1"/>
    <col min="4111" max="4111" width="7.88671875" customWidth="1"/>
    <col min="4112" max="4112" width="9.6640625" customWidth="1"/>
    <col min="4113" max="4113" width="8.44140625" customWidth="1"/>
    <col min="4114" max="4114" width="8.5546875" customWidth="1"/>
    <col min="4115" max="4115" width="9.5546875" customWidth="1"/>
    <col min="4116" max="4116" width="10.88671875" customWidth="1"/>
    <col min="4117" max="4117" width="8.5546875" customWidth="1"/>
    <col min="4118" max="4118" width="8.33203125" customWidth="1"/>
    <col min="4119" max="4120" width="9.6640625" customWidth="1"/>
    <col min="4121" max="4121" width="10.109375" customWidth="1"/>
    <col min="4122" max="4122" width="13.109375" customWidth="1"/>
    <col min="4123" max="4123" width="12.109375" bestFit="1" customWidth="1"/>
    <col min="4124" max="4125" width="8.6640625" customWidth="1"/>
    <col min="4126" max="4126" width="7.6640625" customWidth="1"/>
    <col min="4127" max="4127" width="9" customWidth="1"/>
    <col min="4128" max="4128" width="8.6640625" customWidth="1"/>
    <col min="4129" max="4129" width="15.88671875" customWidth="1"/>
    <col min="4130" max="4130" width="9.109375" customWidth="1"/>
    <col min="4353" max="4355" width="6.6640625" customWidth="1"/>
    <col min="4356" max="4356" width="10.44140625" customWidth="1"/>
    <col min="4357" max="4357" width="9" customWidth="1"/>
    <col min="4358" max="4358" width="7.5546875" bestFit="1" customWidth="1"/>
    <col min="4359" max="4359" width="9.5546875" customWidth="1"/>
    <col min="4360" max="4361" width="9.44140625" customWidth="1"/>
    <col min="4362" max="4362" width="8.88671875" customWidth="1"/>
    <col min="4363" max="4363" width="8.5546875" customWidth="1"/>
    <col min="4364" max="4364" width="8.33203125" customWidth="1"/>
    <col min="4365" max="4366" width="8.88671875" customWidth="1"/>
    <col min="4367" max="4367" width="7.88671875" customWidth="1"/>
    <col min="4368" max="4368" width="9.6640625" customWidth="1"/>
    <col min="4369" max="4369" width="8.44140625" customWidth="1"/>
    <col min="4370" max="4370" width="8.5546875" customWidth="1"/>
    <col min="4371" max="4371" width="9.5546875" customWidth="1"/>
    <col min="4372" max="4372" width="10.88671875" customWidth="1"/>
    <col min="4373" max="4373" width="8.5546875" customWidth="1"/>
    <col min="4374" max="4374" width="8.33203125" customWidth="1"/>
    <col min="4375" max="4376" width="9.6640625" customWidth="1"/>
    <col min="4377" max="4377" width="10.109375" customWidth="1"/>
    <col min="4378" max="4378" width="13.109375" customWidth="1"/>
    <col min="4379" max="4379" width="12.109375" bestFit="1" customWidth="1"/>
    <col min="4380" max="4381" width="8.6640625" customWidth="1"/>
    <col min="4382" max="4382" width="7.6640625" customWidth="1"/>
    <col min="4383" max="4383" width="9" customWidth="1"/>
    <col min="4384" max="4384" width="8.6640625" customWidth="1"/>
    <col min="4385" max="4385" width="15.88671875" customWidth="1"/>
    <col min="4386" max="4386" width="9.109375" customWidth="1"/>
    <col min="4609" max="4611" width="6.6640625" customWidth="1"/>
    <col min="4612" max="4612" width="10.44140625" customWidth="1"/>
    <col min="4613" max="4613" width="9" customWidth="1"/>
    <col min="4614" max="4614" width="7.5546875" bestFit="1" customWidth="1"/>
    <col min="4615" max="4615" width="9.5546875" customWidth="1"/>
    <col min="4616" max="4617" width="9.44140625" customWidth="1"/>
    <col min="4618" max="4618" width="8.88671875" customWidth="1"/>
    <col min="4619" max="4619" width="8.5546875" customWidth="1"/>
    <col min="4620" max="4620" width="8.33203125" customWidth="1"/>
    <col min="4621" max="4622" width="8.88671875" customWidth="1"/>
    <col min="4623" max="4623" width="7.88671875" customWidth="1"/>
    <col min="4624" max="4624" width="9.6640625" customWidth="1"/>
    <col min="4625" max="4625" width="8.44140625" customWidth="1"/>
    <col min="4626" max="4626" width="8.5546875" customWidth="1"/>
    <col min="4627" max="4627" width="9.5546875" customWidth="1"/>
    <col min="4628" max="4628" width="10.88671875" customWidth="1"/>
    <col min="4629" max="4629" width="8.5546875" customWidth="1"/>
    <col min="4630" max="4630" width="8.33203125" customWidth="1"/>
    <col min="4631" max="4632" width="9.6640625" customWidth="1"/>
    <col min="4633" max="4633" width="10.109375" customWidth="1"/>
    <col min="4634" max="4634" width="13.109375" customWidth="1"/>
    <col min="4635" max="4635" width="12.109375" bestFit="1" customWidth="1"/>
    <col min="4636" max="4637" width="8.6640625" customWidth="1"/>
    <col min="4638" max="4638" width="7.6640625" customWidth="1"/>
    <col min="4639" max="4639" width="9" customWidth="1"/>
    <col min="4640" max="4640" width="8.6640625" customWidth="1"/>
    <col min="4641" max="4641" width="15.88671875" customWidth="1"/>
    <col min="4642" max="4642" width="9.109375" customWidth="1"/>
    <col min="4865" max="4867" width="6.6640625" customWidth="1"/>
    <col min="4868" max="4868" width="10.44140625" customWidth="1"/>
    <col min="4869" max="4869" width="9" customWidth="1"/>
    <col min="4870" max="4870" width="7.5546875" bestFit="1" customWidth="1"/>
    <col min="4871" max="4871" width="9.5546875" customWidth="1"/>
    <col min="4872" max="4873" width="9.44140625" customWidth="1"/>
    <col min="4874" max="4874" width="8.88671875" customWidth="1"/>
    <col min="4875" max="4875" width="8.5546875" customWidth="1"/>
    <col min="4876" max="4876" width="8.33203125" customWidth="1"/>
    <col min="4877" max="4878" width="8.88671875" customWidth="1"/>
    <col min="4879" max="4879" width="7.88671875" customWidth="1"/>
    <col min="4880" max="4880" width="9.6640625" customWidth="1"/>
    <col min="4881" max="4881" width="8.44140625" customWidth="1"/>
    <col min="4882" max="4882" width="8.5546875" customWidth="1"/>
    <col min="4883" max="4883" width="9.5546875" customWidth="1"/>
    <col min="4884" max="4884" width="10.88671875" customWidth="1"/>
    <col min="4885" max="4885" width="8.5546875" customWidth="1"/>
    <col min="4886" max="4886" width="8.33203125" customWidth="1"/>
    <col min="4887" max="4888" width="9.6640625" customWidth="1"/>
    <col min="4889" max="4889" width="10.109375" customWidth="1"/>
    <col min="4890" max="4890" width="13.109375" customWidth="1"/>
    <col min="4891" max="4891" width="12.109375" bestFit="1" customWidth="1"/>
    <col min="4892" max="4893" width="8.6640625" customWidth="1"/>
    <col min="4894" max="4894" width="7.6640625" customWidth="1"/>
    <col min="4895" max="4895" width="9" customWidth="1"/>
    <col min="4896" max="4896" width="8.6640625" customWidth="1"/>
    <col min="4897" max="4897" width="15.88671875" customWidth="1"/>
    <col min="4898" max="4898" width="9.109375" customWidth="1"/>
    <col min="5121" max="5123" width="6.6640625" customWidth="1"/>
    <col min="5124" max="5124" width="10.44140625" customWidth="1"/>
    <col min="5125" max="5125" width="9" customWidth="1"/>
    <col min="5126" max="5126" width="7.5546875" bestFit="1" customWidth="1"/>
    <col min="5127" max="5127" width="9.5546875" customWidth="1"/>
    <col min="5128" max="5129" width="9.44140625" customWidth="1"/>
    <col min="5130" max="5130" width="8.88671875" customWidth="1"/>
    <col min="5131" max="5131" width="8.5546875" customWidth="1"/>
    <col min="5132" max="5132" width="8.33203125" customWidth="1"/>
    <col min="5133" max="5134" width="8.88671875" customWidth="1"/>
    <col min="5135" max="5135" width="7.88671875" customWidth="1"/>
    <col min="5136" max="5136" width="9.6640625" customWidth="1"/>
    <col min="5137" max="5137" width="8.44140625" customWidth="1"/>
    <col min="5138" max="5138" width="8.5546875" customWidth="1"/>
    <col min="5139" max="5139" width="9.5546875" customWidth="1"/>
    <col min="5140" max="5140" width="10.88671875" customWidth="1"/>
    <col min="5141" max="5141" width="8.5546875" customWidth="1"/>
    <col min="5142" max="5142" width="8.33203125" customWidth="1"/>
    <col min="5143" max="5144" width="9.6640625" customWidth="1"/>
    <col min="5145" max="5145" width="10.109375" customWidth="1"/>
    <col min="5146" max="5146" width="13.109375" customWidth="1"/>
    <col min="5147" max="5147" width="12.109375" bestFit="1" customWidth="1"/>
    <col min="5148" max="5149" width="8.6640625" customWidth="1"/>
    <col min="5150" max="5150" width="7.6640625" customWidth="1"/>
    <col min="5151" max="5151" width="9" customWidth="1"/>
    <col min="5152" max="5152" width="8.6640625" customWidth="1"/>
    <col min="5153" max="5153" width="15.88671875" customWidth="1"/>
    <col min="5154" max="5154" width="9.109375" customWidth="1"/>
    <col min="5377" max="5379" width="6.6640625" customWidth="1"/>
    <col min="5380" max="5380" width="10.44140625" customWidth="1"/>
    <col min="5381" max="5381" width="9" customWidth="1"/>
    <col min="5382" max="5382" width="7.5546875" bestFit="1" customWidth="1"/>
    <col min="5383" max="5383" width="9.5546875" customWidth="1"/>
    <col min="5384" max="5385" width="9.44140625" customWidth="1"/>
    <col min="5386" max="5386" width="8.88671875" customWidth="1"/>
    <col min="5387" max="5387" width="8.5546875" customWidth="1"/>
    <col min="5388" max="5388" width="8.33203125" customWidth="1"/>
    <col min="5389" max="5390" width="8.88671875" customWidth="1"/>
    <col min="5391" max="5391" width="7.88671875" customWidth="1"/>
    <col min="5392" max="5392" width="9.6640625" customWidth="1"/>
    <col min="5393" max="5393" width="8.44140625" customWidth="1"/>
    <col min="5394" max="5394" width="8.5546875" customWidth="1"/>
    <col min="5395" max="5395" width="9.5546875" customWidth="1"/>
    <col min="5396" max="5396" width="10.88671875" customWidth="1"/>
    <col min="5397" max="5397" width="8.5546875" customWidth="1"/>
    <col min="5398" max="5398" width="8.33203125" customWidth="1"/>
    <col min="5399" max="5400" width="9.6640625" customWidth="1"/>
    <col min="5401" max="5401" width="10.109375" customWidth="1"/>
    <col min="5402" max="5402" width="13.109375" customWidth="1"/>
    <col min="5403" max="5403" width="12.109375" bestFit="1" customWidth="1"/>
    <col min="5404" max="5405" width="8.6640625" customWidth="1"/>
    <col min="5406" max="5406" width="7.6640625" customWidth="1"/>
    <col min="5407" max="5407" width="9" customWidth="1"/>
    <col min="5408" max="5408" width="8.6640625" customWidth="1"/>
    <col min="5409" max="5409" width="15.88671875" customWidth="1"/>
    <col min="5410" max="5410" width="9.109375" customWidth="1"/>
    <col min="5633" max="5635" width="6.6640625" customWidth="1"/>
    <col min="5636" max="5636" width="10.44140625" customWidth="1"/>
    <col min="5637" max="5637" width="9" customWidth="1"/>
    <col min="5638" max="5638" width="7.5546875" bestFit="1" customWidth="1"/>
    <col min="5639" max="5639" width="9.5546875" customWidth="1"/>
    <col min="5640" max="5641" width="9.44140625" customWidth="1"/>
    <col min="5642" max="5642" width="8.88671875" customWidth="1"/>
    <col min="5643" max="5643" width="8.5546875" customWidth="1"/>
    <col min="5644" max="5644" width="8.33203125" customWidth="1"/>
    <col min="5645" max="5646" width="8.88671875" customWidth="1"/>
    <col min="5647" max="5647" width="7.88671875" customWidth="1"/>
    <col min="5648" max="5648" width="9.6640625" customWidth="1"/>
    <col min="5649" max="5649" width="8.44140625" customWidth="1"/>
    <col min="5650" max="5650" width="8.5546875" customWidth="1"/>
    <col min="5651" max="5651" width="9.5546875" customWidth="1"/>
    <col min="5652" max="5652" width="10.88671875" customWidth="1"/>
    <col min="5653" max="5653" width="8.5546875" customWidth="1"/>
    <col min="5654" max="5654" width="8.33203125" customWidth="1"/>
    <col min="5655" max="5656" width="9.6640625" customWidth="1"/>
    <col min="5657" max="5657" width="10.109375" customWidth="1"/>
    <col min="5658" max="5658" width="13.109375" customWidth="1"/>
    <col min="5659" max="5659" width="12.109375" bestFit="1" customWidth="1"/>
    <col min="5660" max="5661" width="8.6640625" customWidth="1"/>
    <col min="5662" max="5662" width="7.6640625" customWidth="1"/>
    <col min="5663" max="5663" width="9" customWidth="1"/>
    <col min="5664" max="5664" width="8.6640625" customWidth="1"/>
    <col min="5665" max="5665" width="15.88671875" customWidth="1"/>
    <col min="5666" max="5666" width="9.109375" customWidth="1"/>
    <col min="5889" max="5891" width="6.6640625" customWidth="1"/>
    <col min="5892" max="5892" width="10.44140625" customWidth="1"/>
    <col min="5893" max="5893" width="9" customWidth="1"/>
    <col min="5894" max="5894" width="7.5546875" bestFit="1" customWidth="1"/>
    <col min="5895" max="5895" width="9.5546875" customWidth="1"/>
    <col min="5896" max="5897" width="9.44140625" customWidth="1"/>
    <col min="5898" max="5898" width="8.88671875" customWidth="1"/>
    <col min="5899" max="5899" width="8.5546875" customWidth="1"/>
    <col min="5900" max="5900" width="8.33203125" customWidth="1"/>
    <col min="5901" max="5902" width="8.88671875" customWidth="1"/>
    <col min="5903" max="5903" width="7.88671875" customWidth="1"/>
    <col min="5904" max="5904" width="9.6640625" customWidth="1"/>
    <col min="5905" max="5905" width="8.44140625" customWidth="1"/>
    <col min="5906" max="5906" width="8.5546875" customWidth="1"/>
    <col min="5907" max="5907" width="9.5546875" customWidth="1"/>
    <col min="5908" max="5908" width="10.88671875" customWidth="1"/>
    <col min="5909" max="5909" width="8.5546875" customWidth="1"/>
    <col min="5910" max="5910" width="8.33203125" customWidth="1"/>
    <col min="5911" max="5912" width="9.6640625" customWidth="1"/>
    <col min="5913" max="5913" width="10.109375" customWidth="1"/>
    <col min="5914" max="5914" width="13.109375" customWidth="1"/>
    <col min="5915" max="5915" width="12.109375" bestFit="1" customWidth="1"/>
    <col min="5916" max="5917" width="8.6640625" customWidth="1"/>
    <col min="5918" max="5918" width="7.6640625" customWidth="1"/>
    <col min="5919" max="5919" width="9" customWidth="1"/>
    <col min="5920" max="5920" width="8.6640625" customWidth="1"/>
    <col min="5921" max="5921" width="15.88671875" customWidth="1"/>
    <col min="5922" max="5922" width="9.109375" customWidth="1"/>
    <col min="6145" max="6147" width="6.6640625" customWidth="1"/>
    <col min="6148" max="6148" width="10.44140625" customWidth="1"/>
    <col min="6149" max="6149" width="9" customWidth="1"/>
    <col min="6150" max="6150" width="7.5546875" bestFit="1" customWidth="1"/>
    <col min="6151" max="6151" width="9.5546875" customWidth="1"/>
    <col min="6152" max="6153" width="9.44140625" customWidth="1"/>
    <col min="6154" max="6154" width="8.88671875" customWidth="1"/>
    <col min="6155" max="6155" width="8.5546875" customWidth="1"/>
    <col min="6156" max="6156" width="8.33203125" customWidth="1"/>
    <col min="6157" max="6158" width="8.88671875" customWidth="1"/>
    <col min="6159" max="6159" width="7.88671875" customWidth="1"/>
    <col min="6160" max="6160" width="9.6640625" customWidth="1"/>
    <col min="6161" max="6161" width="8.44140625" customWidth="1"/>
    <col min="6162" max="6162" width="8.5546875" customWidth="1"/>
    <col min="6163" max="6163" width="9.5546875" customWidth="1"/>
    <col min="6164" max="6164" width="10.88671875" customWidth="1"/>
    <col min="6165" max="6165" width="8.5546875" customWidth="1"/>
    <col min="6166" max="6166" width="8.33203125" customWidth="1"/>
    <col min="6167" max="6168" width="9.6640625" customWidth="1"/>
    <col min="6169" max="6169" width="10.109375" customWidth="1"/>
    <col min="6170" max="6170" width="13.109375" customWidth="1"/>
    <col min="6171" max="6171" width="12.109375" bestFit="1" customWidth="1"/>
    <col min="6172" max="6173" width="8.6640625" customWidth="1"/>
    <col min="6174" max="6174" width="7.6640625" customWidth="1"/>
    <col min="6175" max="6175" width="9" customWidth="1"/>
    <col min="6176" max="6176" width="8.6640625" customWidth="1"/>
    <col min="6177" max="6177" width="15.88671875" customWidth="1"/>
    <col min="6178" max="6178" width="9.109375" customWidth="1"/>
    <col min="6401" max="6403" width="6.6640625" customWidth="1"/>
    <col min="6404" max="6404" width="10.44140625" customWidth="1"/>
    <col min="6405" max="6405" width="9" customWidth="1"/>
    <col min="6406" max="6406" width="7.5546875" bestFit="1" customWidth="1"/>
    <col min="6407" max="6407" width="9.5546875" customWidth="1"/>
    <col min="6408" max="6409" width="9.44140625" customWidth="1"/>
    <col min="6410" max="6410" width="8.88671875" customWidth="1"/>
    <col min="6411" max="6411" width="8.5546875" customWidth="1"/>
    <col min="6412" max="6412" width="8.33203125" customWidth="1"/>
    <col min="6413" max="6414" width="8.88671875" customWidth="1"/>
    <col min="6415" max="6415" width="7.88671875" customWidth="1"/>
    <col min="6416" max="6416" width="9.6640625" customWidth="1"/>
    <col min="6417" max="6417" width="8.44140625" customWidth="1"/>
    <col min="6418" max="6418" width="8.5546875" customWidth="1"/>
    <col min="6419" max="6419" width="9.5546875" customWidth="1"/>
    <col min="6420" max="6420" width="10.88671875" customWidth="1"/>
    <col min="6421" max="6421" width="8.5546875" customWidth="1"/>
    <col min="6422" max="6422" width="8.33203125" customWidth="1"/>
    <col min="6423" max="6424" width="9.6640625" customWidth="1"/>
    <col min="6425" max="6425" width="10.109375" customWidth="1"/>
    <col min="6426" max="6426" width="13.109375" customWidth="1"/>
    <col min="6427" max="6427" width="12.109375" bestFit="1" customWidth="1"/>
    <col min="6428" max="6429" width="8.6640625" customWidth="1"/>
    <col min="6430" max="6430" width="7.6640625" customWidth="1"/>
    <col min="6431" max="6431" width="9" customWidth="1"/>
    <col min="6432" max="6432" width="8.6640625" customWidth="1"/>
    <col min="6433" max="6433" width="15.88671875" customWidth="1"/>
    <col min="6434" max="6434" width="9.109375" customWidth="1"/>
    <col min="6657" max="6659" width="6.6640625" customWidth="1"/>
    <col min="6660" max="6660" width="10.44140625" customWidth="1"/>
    <col min="6661" max="6661" width="9" customWidth="1"/>
    <col min="6662" max="6662" width="7.5546875" bestFit="1" customWidth="1"/>
    <col min="6663" max="6663" width="9.5546875" customWidth="1"/>
    <col min="6664" max="6665" width="9.44140625" customWidth="1"/>
    <col min="6666" max="6666" width="8.88671875" customWidth="1"/>
    <col min="6667" max="6667" width="8.5546875" customWidth="1"/>
    <col min="6668" max="6668" width="8.33203125" customWidth="1"/>
    <col min="6669" max="6670" width="8.88671875" customWidth="1"/>
    <col min="6671" max="6671" width="7.88671875" customWidth="1"/>
    <col min="6672" max="6672" width="9.6640625" customWidth="1"/>
    <col min="6673" max="6673" width="8.44140625" customWidth="1"/>
    <col min="6674" max="6674" width="8.5546875" customWidth="1"/>
    <col min="6675" max="6675" width="9.5546875" customWidth="1"/>
    <col min="6676" max="6676" width="10.88671875" customWidth="1"/>
    <col min="6677" max="6677" width="8.5546875" customWidth="1"/>
    <col min="6678" max="6678" width="8.33203125" customWidth="1"/>
    <col min="6679" max="6680" width="9.6640625" customWidth="1"/>
    <col min="6681" max="6681" width="10.109375" customWidth="1"/>
    <col min="6682" max="6682" width="13.109375" customWidth="1"/>
    <col min="6683" max="6683" width="12.109375" bestFit="1" customWidth="1"/>
    <col min="6684" max="6685" width="8.6640625" customWidth="1"/>
    <col min="6686" max="6686" width="7.6640625" customWidth="1"/>
    <col min="6687" max="6687" width="9" customWidth="1"/>
    <col min="6688" max="6688" width="8.6640625" customWidth="1"/>
    <col min="6689" max="6689" width="15.88671875" customWidth="1"/>
    <col min="6690" max="6690" width="9.109375" customWidth="1"/>
    <col min="6913" max="6915" width="6.6640625" customWidth="1"/>
    <col min="6916" max="6916" width="10.44140625" customWidth="1"/>
    <col min="6917" max="6917" width="9" customWidth="1"/>
    <col min="6918" max="6918" width="7.5546875" bestFit="1" customWidth="1"/>
    <col min="6919" max="6919" width="9.5546875" customWidth="1"/>
    <col min="6920" max="6921" width="9.44140625" customWidth="1"/>
    <col min="6922" max="6922" width="8.88671875" customWidth="1"/>
    <col min="6923" max="6923" width="8.5546875" customWidth="1"/>
    <col min="6924" max="6924" width="8.33203125" customWidth="1"/>
    <col min="6925" max="6926" width="8.88671875" customWidth="1"/>
    <col min="6927" max="6927" width="7.88671875" customWidth="1"/>
    <col min="6928" max="6928" width="9.6640625" customWidth="1"/>
    <col min="6929" max="6929" width="8.44140625" customWidth="1"/>
    <col min="6930" max="6930" width="8.5546875" customWidth="1"/>
    <col min="6931" max="6931" width="9.5546875" customWidth="1"/>
    <col min="6932" max="6932" width="10.88671875" customWidth="1"/>
    <col min="6933" max="6933" width="8.5546875" customWidth="1"/>
    <col min="6934" max="6934" width="8.33203125" customWidth="1"/>
    <col min="6935" max="6936" width="9.6640625" customWidth="1"/>
    <col min="6937" max="6937" width="10.109375" customWidth="1"/>
    <col min="6938" max="6938" width="13.109375" customWidth="1"/>
    <col min="6939" max="6939" width="12.109375" bestFit="1" customWidth="1"/>
    <col min="6940" max="6941" width="8.6640625" customWidth="1"/>
    <col min="6942" max="6942" width="7.6640625" customWidth="1"/>
    <col min="6943" max="6943" width="9" customWidth="1"/>
    <col min="6944" max="6944" width="8.6640625" customWidth="1"/>
    <col min="6945" max="6945" width="15.88671875" customWidth="1"/>
    <col min="6946" max="6946" width="9.109375" customWidth="1"/>
    <col min="7169" max="7171" width="6.6640625" customWidth="1"/>
    <col min="7172" max="7172" width="10.44140625" customWidth="1"/>
    <col min="7173" max="7173" width="9" customWidth="1"/>
    <col min="7174" max="7174" width="7.5546875" bestFit="1" customWidth="1"/>
    <col min="7175" max="7175" width="9.5546875" customWidth="1"/>
    <col min="7176" max="7177" width="9.44140625" customWidth="1"/>
    <col min="7178" max="7178" width="8.88671875" customWidth="1"/>
    <col min="7179" max="7179" width="8.5546875" customWidth="1"/>
    <col min="7180" max="7180" width="8.33203125" customWidth="1"/>
    <col min="7181" max="7182" width="8.88671875" customWidth="1"/>
    <col min="7183" max="7183" width="7.88671875" customWidth="1"/>
    <col min="7184" max="7184" width="9.6640625" customWidth="1"/>
    <col min="7185" max="7185" width="8.44140625" customWidth="1"/>
    <col min="7186" max="7186" width="8.5546875" customWidth="1"/>
    <col min="7187" max="7187" width="9.5546875" customWidth="1"/>
    <col min="7188" max="7188" width="10.88671875" customWidth="1"/>
    <col min="7189" max="7189" width="8.5546875" customWidth="1"/>
    <col min="7190" max="7190" width="8.33203125" customWidth="1"/>
    <col min="7191" max="7192" width="9.6640625" customWidth="1"/>
    <col min="7193" max="7193" width="10.109375" customWidth="1"/>
    <col min="7194" max="7194" width="13.109375" customWidth="1"/>
    <col min="7195" max="7195" width="12.109375" bestFit="1" customWidth="1"/>
    <col min="7196" max="7197" width="8.6640625" customWidth="1"/>
    <col min="7198" max="7198" width="7.6640625" customWidth="1"/>
    <col min="7199" max="7199" width="9" customWidth="1"/>
    <col min="7200" max="7200" width="8.6640625" customWidth="1"/>
    <col min="7201" max="7201" width="15.88671875" customWidth="1"/>
    <col min="7202" max="7202" width="9.109375" customWidth="1"/>
    <col min="7425" max="7427" width="6.6640625" customWidth="1"/>
    <col min="7428" max="7428" width="10.44140625" customWidth="1"/>
    <col min="7429" max="7429" width="9" customWidth="1"/>
    <col min="7430" max="7430" width="7.5546875" bestFit="1" customWidth="1"/>
    <col min="7431" max="7431" width="9.5546875" customWidth="1"/>
    <col min="7432" max="7433" width="9.44140625" customWidth="1"/>
    <col min="7434" max="7434" width="8.88671875" customWidth="1"/>
    <col min="7435" max="7435" width="8.5546875" customWidth="1"/>
    <col min="7436" max="7436" width="8.33203125" customWidth="1"/>
    <col min="7437" max="7438" width="8.88671875" customWidth="1"/>
    <col min="7439" max="7439" width="7.88671875" customWidth="1"/>
    <col min="7440" max="7440" width="9.6640625" customWidth="1"/>
    <col min="7441" max="7441" width="8.44140625" customWidth="1"/>
    <col min="7442" max="7442" width="8.5546875" customWidth="1"/>
    <col min="7443" max="7443" width="9.5546875" customWidth="1"/>
    <col min="7444" max="7444" width="10.88671875" customWidth="1"/>
    <col min="7445" max="7445" width="8.5546875" customWidth="1"/>
    <col min="7446" max="7446" width="8.33203125" customWidth="1"/>
    <col min="7447" max="7448" width="9.6640625" customWidth="1"/>
    <col min="7449" max="7449" width="10.109375" customWidth="1"/>
    <col min="7450" max="7450" width="13.109375" customWidth="1"/>
    <col min="7451" max="7451" width="12.109375" bestFit="1" customWidth="1"/>
    <col min="7452" max="7453" width="8.6640625" customWidth="1"/>
    <col min="7454" max="7454" width="7.6640625" customWidth="1"/>
    <col min="7455" max="7455" width="9" customWidth="1"/>
    <col min="7456" max="7456" width="8.6640625" customWidth="1"/>
    <col min="7457" max="7457" width="15.88671875" customWidth="1"/>
    <col min="7458" max="7458" width="9.109375" customWidth="1"/>
    <col min="7681" max="7683" width="6.6640625" customWidth="1"/>
    <col min="7684" max="7684" width="10.44140625" customWidth="1"/>
    <col min="7685" max="7685" width="9" customWidth="1"/>
    <col min="7686" max="7686" width="7.5546875" bestFit="1" customWidth="1"/>
    <col min="7687" max="7687" width="9.5546875" customWidth="1"/>
    <col min="7688" max="7689" width="9.44140625" customWidth="1"/>
    <col min="7690" max="7690" width="8.88671875" customWidth="1"/>
    <col min="7691" max="7691" width="8.5546875" customWidth="1"/>
    <col min="7692" max="7692" width="8.33203125" customWidth="1"/>
    <col min="7693" max="7694" width="8.88671875" customWidth="1"/>
    <col min="7695" max="7695" width="7.88671875" customWidth="1"/>
    <col min="7696" max="7696" width="9.6640625" customWidth="1"/>
    <col min="7697" max="7697" width="8.44140625" customWidth="1"/>
    <col min="7698" max="7698" width="8.5546875" customWidth="1"/>
    <col min="7699" max="7699" width="9.5546875" customWidth="1"/>
    <col min="7700" max="7700" width="10.88671875" customWidth="1"/>
    <col min="7701" max="7701" width="8.5546875" customWidth="1"/>
    <col min="7702" max="7702" width="8.33203125" customWidth="1"/>
    <col min="7703" max="7704" width="9.6640625" customWidth="1"/>
    <col min="7705" max="7705" width="10.109375" customWidth="1"/>
    <col min="7706" max="7706" width="13.109375" customWidth="1"/>
    <col min="7707" max="7707" width="12.109375" bestFit="1" customWidth="1"/>
    <col min="7708" max="7709" width="8.6640625" customWidth="1"/>
    <col min="7710" max="7710" width="7.6640625" customWidth="1"/>
    <col min="7711" max="7711" width="9" customWidth="1"/>
    <col min="7712" max="7712" width="8.6640625" customWidth="1"/>
    <col min="7713" max="7713" width="15.88671875" customWidth="1"/>
    <col min="7714" max="7714" width="9.109375" customWidth="1"/>
    <col min="7937" max="7939" width="6.6640625" customWidth="1"/>
    <col min="7940" max="7940" width="10.44140625" customWidth="1"/>
    <col min="7941" max="7941" width="9" customWidth="1"/>
    <col min="7942" max="7942" width="7.5546875" bestFit="1" customWidth="1"/>
    <col min="7943" max="7943" width="9.5546875" customWidth="1"/>
    <col min="7944" max="7945" width="9.44140625" customWidth="1"/>
    <col min="7946" max="7946" width="8.88671875" customWidth="1"/>
    <col min="7947" max="7947" width="8.5546875" customWidth="1"/>
    <col min="7948" max="7948" width="8.33203125" customWidth="1"/>
    <col min="7949" max="7950" width="8.88671875" customWidth="1"/>
    <col min="7951" max="7951" width="7.88671875" customWidth="1"/>
    <col min="7952" max="7952" width="9.6640625" customWidth="1"/>
    <col min="7953" max="7953" width="8.44140625" customWidth="1"/>
    <col min="7954" max="7954" width="8.5546875" customWidth="1"/>
    <col min="7955" max="7955" width="9.5546875" customWidth="1"/>
    <col min="7956" max="7956" width="10.88671875" customWidth="1"/>
    <col min="7957" max="7957" width="8.5546875" customWidth="1"/>
    <col min="7958" max="7958" width="8.33203125" customWidth="1"/>
    <col min="7959" max="7960" width="9.6640625" customWidth="1"/>
    <col min="7961" max="7961" width="10.109375" customWidth="1"/>
    <col min="7962" max="7962" width="13.109375" customWidth="1"/>
    <col min="7963" max="7963" width="12.109375" bestFit="1" customWidth="1"/>
    <col min="7964" max="7965" width="8.6640625" customWidth="1"/>
    <col min="7966" max="7966" width="7.6640625" customWidth="1"/>
    <col min="7967" max="7967" width="9" customWidth="1"/>
    <col min="7968" max="7968" width="8.6640625" customWidth="1"/>
    <col min="7969" max="7969" width="15.88671875" customWidth="1"/>
    <col min="7970" max="7970" width="9.109375" customWidth="1"/>
    <col min="8193" max="8195" width="6.6640625" customWidth="1"/>
    <col min="8196" max="8196" width="10.44140625" customWidth="1"/>
    <col min="8197" max="8197" width="9" customWidth="1"/>
    <col min="8198" max="8198" width="7.5546875" bestFit="1" customWidth="1"/>
    <col min="8199" max="8199" width="9.5546875" customWidth="1"/>
    <col min="8200" max="8201" width="9.44140625" customWidth="1"/>
    <col min="8202" max="8202" width="8.88671875" customWidth="1"/>
    <col min="8203" max="8203" width="8.5546875" customWidth="1"/>
    <col min="8204" max="8204" width="8.33203125" customWidth="1"/>
    <col min="8205" max="8206" width="8.88671875" customWidth="1"/>
    <col min="8207" max="8207" width="7.88671875" customWidth="1"/>
    <col min="8208" max="8208" width="9.6640625" customWidth="1"/>
    <col min="8209" max="8209" width="8.44140625" customWidth="1"/>
    <col min="8210" max="8210" width="8.5546875" customWidth="1"/>
    <col min="8211" max="8211" width="9.5546875" customWidth="1"/>
    <col min="8212" max="8212" width="10.88671875" customWidth="1"/>
    <col min="8213" max="8213" width="8.5546875" customWidth="1"/>
    <col min="8214" max="8214" width="8.33203125" customWidth="1"/>
    <col min="8215" max="8216" width="9.6640625" customWidth="1"/>
    <col min="8217" max="8217" width="10.109375" customWidth="1"/>
    <col min="8218" max="8218" width="13.109375" customWidth="1"/>
    <col min="8219" max="8219" width="12.109375" bestFit="1" customWidth="1"/>
    <col min="8220" max="8221" width="8.6640625" customWidth="1"/>
    <col min="8222" max="8222" width="7.6640625" customWidth="1"/>
    <col min="8223" max="8223" width="9" customWidth="1"/>
    <col min="8224" max="8224" width="8.6640625" customWidth="1"/>
    <col min="8225" max="8225" width="15.88671875" customWidth="1"/>
    <col min="8226" max="8226" width="9.109375" customWidth="1"/>
    <col min="8449" max="8451" width="6.6640625" customWidth="1"/>
    <col min="8452" max="8452" width="10.44140625" customWidth="1"/>
    <col min="8453" max="8453" width="9" customWidth="1"/>
    <col min="8454" max="8454" width="7.5546875" bestFit="1" customWidth="1"/>
    <col min="8455" max="8455" width="9.5546875" customWidth="1"/>
    <col min="8456" max="8457" width="9.44140625" customWidth="1"/>
    <col min="8458" max="8458" width="8.88671875" customWidth="1"/>
    <col min="8459" max="8459" width="8.5546875" customWidth="1"/>
    <col min="8460" max="8460" width="8.33203125" customWidth="1"/>
    <col min="8461" max="8462" width="8.88671875" customWidth="1"/>
    <col min="8463" max="8463" width="7.88671875" customWidth="1"/>
    <col min="8464" max="8464" width="9.6640625" customWidth="1"/>
    <col min="8465" max="8465" width="8.44140625" customWidth="1"/>
    <col min="8466" max="8466" width="8.5546875" customWidth="1"/>
    <col min="8467" max="8467" width="9.5546875" customWidth="1"/>
    <col min="8468" max="8468" width="10.88671875" customWidth="1"/>
    <col min="8469" max="8469" width="8.5546875" customWidth="1"/>
    <col min="8470" max="8470" width="8.33203125" customWidth="1"/>
    <col min="8471" max="8472" width="9.6640625" customWidth="1"/>
    <col min="8473" max="8473" width="10.109375" customWidth="1"/>
    <col min="8474" max="8474" width="13.109375" customWidth="1"/>
    <col min="8475" max="8475" width="12.109375" bestFit="1" customWidth="1"/>
    <col min="8476" max="8477" width="8.6640625" customWidth="1"/>
    <col min="8478" max="8478" width="7.6640625" customWidth="1"/>
    <col min="8479" max="8479" width="9" customWidth="1"/>
    <col min="8480" max="8480" width="8.6640625" customWidth="1"/>
    <col min="8481" max="8481" width="15.88671875" customWidth="1"/>
    <col min="8482" max="8482" width="9.109375" customWidth="1"/>
    <col min="8705" max="8707" width="6.6640625" customWidth="1"/>
    <col min="8708" max="8708" width="10.44140625" customWidth="1"/>
    <col min="8709" max="8709" width="9" customWidth="1"/>
    <col min="8710" max="8710" width="7.5546875" bestFit="1" customWidth="1"/>
    <col min="8711" max="8711" width="9.5546875" customWidth="1"/>
    <col min="8712" max="8713" width="9.44140625" customWidth="1"/>
    <col min="8714" max="8714" width="8.88671875" customWidth="1"/>
    <col min="8715" max="8715" width="8.5546875" customWidth="1"/>
    <col min="8716" max="8716" width="8.33203125" customWidth="1"/>
    <col min="8717" max="8718" width="8.88671875" customWidth="1"/>
    <col min="8719" max="8719" width="7.88671875" customWidth="1"/>
    <col min="8720" max="8720" width="9.6640625" customWidth="1"/>
    <col min="8721" max="8721" width="8.44140625" customWidth="1"/>
    <col min="8722" max="8722" width="8.5546875" customWidth="1"/>
    <col min="8723" max="8723" width="9.5546875" customWidth="1"/>
    <col min="8724" max="8724" width="10.88671875" customWidth="1"/>
    <col min="8725" max="8725" width="8.5546875" customWidth="1"/>
    <col min="8726" max="8726" width="8.33203125" customWidth="1"/>
    <col min="8727" max="8728" width="9.6640625" customWidth="1"/>
    <col min="8729" max="8729" width="10.109375" customWidth="1"/>
    <col min="8730" max="8730" width="13.109375" customWidth="1"/>
    <col min="8731" max="8731" width="12.109375" bestFit="1" customWidth="1"/>
    <col min="8732" max="8733" width="8.6640625" customWidth="1"/>
    <col min="8734" max="8734" width="7.6640625" customWidth="1"/>
    <col min="8735" max="8735" width="9" customWidth="1"/>
    <col min="8736" max="8736" width="8.6640625" customWidth="1"/>
    <col min="8737" max="8737" width="15.88671875" customWidth="1"/>
    <col min="8738" max="8738" width="9.109375" customWidth="1"/>
    <col min="8961" max="8963" width="6.6640625" customWidth="1"/>
    <col min="8964" max="8964" width="10.44140625" customWidth="1"/>
    <col min="8965" max="8965" width="9" customWidth="1"/>
    <col min="8966" max="8966" width="7.5546875" bestFit="1" customWidth="1"/>
    <col min="8967" max="8967" width="9.5546875" customWidth="1"/>
    <col min="8968" max="8969" width="9.44140625" customWidth="1"/>
    <col min="8970" max="8970" width="8.88671875" customWidth="1"/>
    <col min="8971" max="8971" width="8.5546875" customWidth="1"/>
    <col min="8972" max="8972" width="8.33203125" customWidth="1"/>
    <col min="8973" max="8974" width="8.88671875" customWidth="1"/>
    <col min="8975" max="8975" width="7.88671875" customWidth="1"/>
    <col min="8976" max="8976" width="9.6640625" customWidth="1"/>
    <col min="8977" max="8977" width="8.44140625" customWidth="1"/>
    <col min="8978" max="8978" width="8.5546875" customWidth="1"/>
    <col min="8979" max="8979" width="9.5546875" customWidth="1"/>
    <col min="8980" max="8980" width="10.88671875" customWidth="1"/>
    <col min="8981" max="8981" width="8.5546875" customWidth="1"/>
    <col min="8982" max="8982" width="8.33203125" customWidth="1"/>
    <col min="8983" max="8984" width="9.6640625" customWidth="1"/>
    <col min="8985" max="8985" width="10.109375" customWidth="1"/>
    <col min="8986" max="8986" width="13.109375" customWidth="1"/>
    <col min="8987" max="8987" width="12.109375" bestFit="1" customWidth="1"/>
    <col min="8988" max="8989" width="8.6640625" customWidth="1"/>
    <col min="8990" max="8990" width="7.6640625" customWidth="1"/>
    <col min="8991" max="8991" width="9" customWidth="1"/>
    <col min="8992" max="8992" width="8.6640625" customWidth="1"/>
    <col min="8993" max="8993" width="15.88671875" customWidth="1"/>
    <col min="8994" max="8994" width="9.109375" customWidth="1"/>
    <col min="9217" max="9219" width="6.6640625" customWidth="1"/>
    <col min="9220" max="9220" width="10.44140625" customWidth="1"/>
    <col min="9221" max="9221" width="9" customWidth="1"/>
    <col min="9222" max="9222" width="7.5546875" bestFit="1" customWidth="1"/>
    <col min="9223" max="9223" width="9.5546875" customWidth="1"/>
    <col min="9224" max="9225" width="9.44140625" customWidth="1"/>
    <col min="9226" max="9226" width="8.88671875" customWidth="1"/>
    <col min="9227" max="9227" width="8.5546875" customWidth="1"/>
    <col min="9228" max="9228" width="8.33203125" customWidth="1"/>
    <col min="9229" max="9230" width="8.88671875" customWidth="1"/>
    <col min="9231" max="9231" width="7.88671875" customWidth="1"/>
    <col min="9232" max="9232" width="9.6640625" customWidth="1"/>
    <col min="9233" max="9233" width="8.44140625" customWidth="1"/>
    <col min="9234" max="9234" width="8.5546875" customWidth="1"/>
    <col min="9235" max="9235" width="9.5546875" customWidth="1"/>
    <col min="9236" max="9236" width="10.88671875" customWidth="1"/>
    <col min="9237" max="9237" width="8.5546875" customWidth="1"/>
    <col min="9238" max="9238" width="8.33203125" customWidth="1"/>
    <col min="9239" max="9240" width="9.6640625" customWidth="1"/>
    <col min="9241" max="9241" width="10.109375" customWidth="1"/>
    <col min="9242" max="9242" width="13.109375" customWidth="1"/>
    <col min="9243" max="9243" width="12.109375" bestFit="1" customWidth="1"/>
    <col min="9244" max="9245" width="8.6640625" customWidth="1"/>
    <col min="9246" max="9246" width="7.6640625" customWidth="1"/>
    <col min="9247" max="9247" width="9" customWidth="1"/>
    <col min="9248" max="9248" width="8.6640625" customWidth="1"/>
    <col min="9249" max="9249" width="15.88671875" customWidth="1"/>
    <col min="9250" max="9250" width="9.109375" customWidth="1"/>
    <col min="9473" max="9475" width="6.6640625" customWidth="1"/>
    <col min="9476" max="9476" width="10.44140625" customWidth="1"/>
    <col min="9477" max="9477" width="9" customWidth="1"/>
    <col min="9478" max="9478" width="7.5546875" bestFit="1" customWidth="1"/>
    <col min="9479" max="9479" width="9.5546875" customWidth="1"/>
    <col min="9480" max="9481" width="9.44140625" customWidth="1"/>
    <col min="9482" max="9482" width="8.88671875" customWidth="1"/>
    <col min="9483" max="9483" width="8.5546875" customWidth="1"/>
    <col min="9484" max="9484" width="8.33203125" customWidth="1"/>
    <col min="9485" max="9486" width="8.88671875" customWidth="1"/>
    <col min="9487" max="9487" width="7.88671875" customWidth="1"/>
    <col min="9488" max="9488" width="9.6640625" customWidth="1"/>
    <col min="9489" max="9489" width="8.44140625" customWidth="1"/>
    <col min="9490" max="9490" width="8.5546875" customWidth="1"/>
    <col min="9491" max="9491" width="9.5546875" customWidth="1"/>
    <col min="9492" max="9492" width="10.88671875" customWidth="1"/>
    <col min="9493" max="9493" width="8.5546875" customWidth="1"/>
    <col min="9494" max="9494" width="8.33203125" customWidth="1"/>
    <col min="9495" max="9496" width="9.6640625" customWidth="1"/>
    <col min="9497" max="9497" width="10.109375" customWidth="1"/>
    <col min="9498" max="9498" width="13.109375" customWidth="1"/>
    <col min="9499" max="9499" width="12.109375" bestFit="1" customWidth="1"/>
    <col min="9500" max="9501" width="8.6640625" customWidth="1"/>
    <col min="9502" max="9502" width="7.6640625" customWidth="1"/>
    <col min="9503" max="9503" width="9" customWidth="1"/>
    <col min="9504" max="9504" width="8.6640625" customWidth="1"/>
    <col min="9505" max="9505" width="15.88671875" customWidth="1"/>
    <col min="9506" max="9506" width="9.109375" customWidth="1"/>
    <col min="9729" max="9731" width="6.6640625" customWidth="1"/>
    <col min="9732" max="9732" width="10.44140625" customWidth="1"/>
    <col min="9733" max="9733" width="9" customWidth="1"/>
    <col min="9734" max="9734" width="7.5546875" bestFit="1" customWidth="1"/>
    <col min="9735" max="9735" width="9.5546875" customWidth="1"/>
    <col min="9736" max="9737" width="9.44140625" customWidth="1"/>
    <col min="9738" max="9738" width="8.88671875" customWidth="1"/>
    <col min="9739" max="9739" width="8.5546875" customWidth="1"/>
    <col min="9740" max="9740" width="8.33203125" customWidth="1"/>
    <col min="9741" max="9742" width="8.88671875" customWidth="1"/>
    <col min="9743" max="9743" width="7.88671875" customWidth="1"/>
    <col min="9744" max="9744" width="9.6640625" customWidth="1"/>
    <col min="9745" max="9745" width="8.44140625" customWidth="1"/>
    <col min="9746" max="9746" width="8.5546875" customWidth="1"/>
    <col min="9747" max="9747" width="9.5546875" customWidth="1"/>
    <col min="9748" max="9748" width="10.88671875" customWidth="1"/>
    <col min="9749" max="9749" width="8.5546875" customWidth="1"/>
    <col min="9750" max="9750" width="8.33203125" customWidth="1"/>
    <col min="9751" max="9752" width="9.6640625" customWidth="1"/>
    <col min="9753" max="9753" width="10.109375" customWidth="1"/>
    <col min="9754" max="9754" width="13.109375" customWidth="1"/>
    <col min="9755" max="9755" width="12.109375" bestFit="1" customWidth="1"/>
    <col min="9756" max="9757" width="8.6640625" customWidth="1"/>
    <col min="9758" max="9758" width="7.6640625" customWidth="1"/>
    <col min="9759" max="9759" width="9" customWidth="1"/>
    <col min="9760" max="9760" width="8.6640625" customWidth="1"/>
    <col min="9761" max="9761" width="15.88671875" customWidth="1"/>
    <col min="9762" max="9762" width="9.109375" customWidth="1"/>
    <col min="9985" max="9987" width="6.6640625" customWidth="1"/>
    <col min="9988" max="9988" width="10.44140625" customWidth="1"/>
    <col min="9989" max="9989" width="9" customWidth="1"/>
    <col min="9990" max="9990" width="7.5546875" bestFit="1" customWidth="1"/>
    <col min="9991" max="9991" width="9.5546875" customWidth="1"/>
    <col min="9992" max="9993" width="9.44140625" customWidth="1"/>
    <col min="9994" max="9994" width="8.88671875" customWidth="1"/>
    <col min="9995" max="9995" width="8.5546875" customWidth="1"/>
    <col min="9996" max="9996" width="8.33203125" customWidth="1"/>
    <col min="9997" max="9998" width="8.88671875" customWidth="1"/>
    <col min="9999" max="9999" width="7.88671875" customWidth="1"/>
    <col min="10000" max="10000" width="9.6640625" customWidth="1"/>
    <col min="10001" max="10001" width="8.44140625" customWidth="1"/>
    <col min="10002" max="10002" width="8.5546875" customWidth="1"/>
    <col min="10003" max="10003" width="9.5546875" customWidth="1"/>
    <col min="10004" max="10004" width="10.88671875" customWidth="1"/>
    <col min="10005" max="10005" width="8.5546875" customWidth="1"/>
    <col min="10006" max="10006" width="8.33203125" customWidth="1"/>
    <col min="10007" max="10008" width="9.6640625" customWidth="1"/>
    <col min="10009" max="10009" width="10.109375" customWidth="1"/>
    <col min="10010" max="10010" width="13.109375" customWidth="1"/>
    <col min="10011" max="10011" width="12.109375" bestFit="1" customWidth="1"/>
    <col min="10012" max="10013" width="8.6640625" customWidth="1"/>
    <col min="10014" max="10014" width="7.6640625" customWidth="1"/>
    <col min="10015" max="10015" width="9" customWidth="1"/>
    <col min="10016" max="10016" width="8.6640625" customWidth="1"/>
    <col min="10017" max="10017" width="15.88671875" customWidth="1"/>
    <col min="10018" max="10018" width="9.109375" customWidth="1"/>
    <col min="10241" max="10243" width="6.6640625" customWidth="1"/>
    <col min="10244" max="10244" width="10.44140625" customWidth="1"/>
    <col min="10245" max="10245" width="9" customWidth="1"/>
    <col min="10246" max="10246" width="7.5546875" bestFit="1" customWidth="1"/>
    <col min="10247" max="10247" width="9.5546875" customWidth="1"/>
    <col min="10248" max="10249" width="9.44140625" customWidth="1"/>
    <col min="10250" max="10250" width="8.88671875" customWidth="1"/>
    <col min="10251" max="10251" width="8.5546875" customWidth="1"/>
    <col min="10252" max="10252" width="8.33203125" customWidth="1"/>
    <col min="10253" max="10254" width="8.88671875" customWidth="1"/>
    <col min="10255" max="10255" width="7.88671875" customWidth="1"/>
    <col min="10256" max="10256" width="9.6640625" customWidth="1"/>
    <col min="10257" max="10257" width="8.44140625" customWidth="1"/>
    <col min="10258" max="10258" width="8.5546875" customWidth="1"/>
    <col min="10259" max="10259" width="9.5546875" customWidth="1"/>
    <col min="10260" max="10260" width="10.88671875" customWidth="1"/>
    <col min="10261" max="10261" width="8.5546875" customWidth="1"/>
    <col min="10262" max="10262" width="8.33203125" customWidth="1"/>
    <col min="10263" max="10264" width="9.6640625" customWidth="1"/>
    <col min="10265" max="10265" width="10.109375" customWidth="1"/>
    <col min="10266" max="10266" width="13.109375" customWidth="1"/>
    <col min="10267" max="10267" width="12.109375" bestFit="1" customWidth="1"/>
    <col min="10268" max="10269" width="8.6640625" customWidth="1"/>
    <col min="10270" max="10270" width="7.6640625" customWidth="1"/>
    <col min="10271" max="10271" width="9" customWidth="1"/>
    <col min="10272" max="10272" width="8.6640625" customWidth="1"/>
    <col min="10273" max="10273" width="15.88671875" customWidth="1"/>
    <col min="10274" max="10274" width="9.109375" customWidth="1"/>
    <col min="10497" max="10499" width="6.6640625" customWidth="1"/>
    <col min="10500" max="10500" width="10.44140625" customWidth="1"/>
    <col min="10501" max="10501" width="9" customWidth="1"/>
    <col min="10502" max="10502" width="7.5546875" bestFit="1" customWidth="1"/>
    <col min="10503" max="10503" width="9.5546875" customWidth="1"/>
    <col min="10504" max="10505" width="9.44140625" customWidth="1"/>
    <col min="10506" max="10506" width="8.88671875" customWidth="1"/>
    <col min="10507" max="10507" width="8.5546875" customWidth="1"/>
    <col min="10508" max="10508" width="8.33203125" customWidth="1"/>
    <col min="10509" max="10510" width="8.88671875" customWidth="1"/>
    <col min="10511" max="10511" width="7.88671875" customWidth="1"/>
    <col min="10512" max="10512" width="9.6640625" customWidth="1"/>
    <col min="10513" max="10513" width="8.44140625" customWidth="1"/>
    <col min="10514" max="10514" width="8.5546875" customWidth="1"/>
    <col min="10515" max="10515" width="9.5546875" customWidth="1"/>
    <col min="10516" max="10516" width="10.88671875" customWidth="1"/>
    <col min="10517" max="10517" width="8.5546875" customWidth="1"/>
    <col min="10518" max="10518" width="8.33203125" customWidth="1"/>
    <col min="10519" max="10520" width="9.6640625" customWidth="1"/>
    <col min="10521" max="10521" width="10.109375" customWidth="1"/>
    <col min="10522" max="10522" width="13.109375" customWidth="1"/>
    <col min="10523" max="10523" width="12.109375" bestFit="1" customWidth="1"/>
    <col min="10524" max="10525" width="8.6640625" customWidth="1"/>
    <col min="10526" max="10526" width="7.6640625" customWidth="1"/>
    <col min="10527" max="10527" width="9" customWidth="1"/>
    <col min="10528" max="10528" width="8.6640625" customWidth="1"/>
    <col min="10529" max="10529" width="15.88671875" customWidth="1"/>
    <col min="10530" max="10530" width="9.109375" customWidth="1"/>
    <col min="10753" max="10755" width="6.6640625" customWidth="1"/>
    <col min="10756" max="10756" width="10.44140625" customWidth="1"/>
    <col min="10757" max="10757" width="9" customWidth="1"/>
    <col min="10758" max="10758" width="7.5546875" bestFit="1" customWidth="1"/>
    <col min="10759" max="10759" width="9.5546875" customWidth="1"/>
    <col min="10760" max="10761" width="9.44140625" customWidth="1"/>
    <col min="10762" max="10762" width="8.88671875" customWidth="1"/>
    <col min="10763" max="10763" width="8.5546875" customWidth="1"/>
    <col min="10764" max="10764" width="8.33203125" customWidth="1"/>
    <col min="10765" max="10766" width="8.88671875" customWidth="1"/>
    <col min="10767" max="10767" width="7.88671875" customWidth="1"/>
    <col min="10768" max="10768" width="9.6640625" customWidth="1"/>
    <col min="10769" max="10769" width="8.44140625" customWidth="1"/>
    <col min="10770" max="10770" width="8.5546875" customWidth="1"/>
    <col min="10771" max="10771" width="9.5546875" customWidth="1"/>
    <col min="10772" max="10772" width="10.88671875" customWidth="1"/>
    <col min="10773" max="10773" width="8.5546875" customWidth="1"/>
    <col min="10774" max="10774" width="8.33203125" customWidth="1"/>
    <col min="10775" max="10776" width="9.6640625" customWidth="1"/>
    <col min="10777" max="10777" width="10.109375" customWidth="1"/>
    <col min="10778" max="10778" width="13.109375" customWidth="1"/>
    <col min="10779" max="10779" width="12.109375" bestFit="1" customWidth="1"/>
    <col min="10780" max="10781" width="8.6640625" customWidth="1"/>
    <col min="10782" max="10782" width="7.6640625" customWidth="1"/>
    <col min="10783" max="10783" width="9" customWidth="1"/>
    <col min="10784" max="10784" width="8.6640625" customWidth="1"/>
    <col min="10785" max="10785" width="15.88671875" customWidth="1"/>
    <col min="10786" max="10786" width="9.109375" customWidth="1"/>
    <col min="11009" max="11011" width="6.6640625" customWidth="1"/>
    <col min="11012" max="11012" width="10.44140625" customWidth="1"/>
    <col min="11013" max="11013" width="9" customWidth="1"/>
    <col min="11014" max="11014" width="7.5546875" bestFit="1" customWidth="1"/>
    <col min="11015" max="11015" width="9.5546875" customWidth="1"/>
    <col min="11016" max="11017" width="9.44140625" customWidth="1"/>
    <col min="11018" max="11018" width="8.88671875" customWidth="1"/>
    <col min="11019" max="11019" width="8.5546875" customWidth="1"/>
    <col min="11020" max="11020" width="8.33203125" customWidth="1"/>
    <col min="11021" max="11022" width="8.88671875" customWidth="1"/>
    <col min="11023" max="11023" width="7.88671875" customWidth="1"/>
    <col min="11024" max="11024" width="9.6640625" customWidth="1"/>
    <col min="11025" max="11025" width="8.44140625" customWidth="1"/>
    <col min="11026" max="11026" width="8.5546875" customWidth="1"/>
    <col min="11027" max="11027" width="9.5546875" customWidth="1"/>
    <col min="11028" max="11028" width="10.88671875" customWidth="1"/>
    <col min="11029" max="11029" width="8.5546875" customWidth="1"/>
    <col min="11030" max="11030" width="8.33203125" customWidth="1"/>
    <col min="11031" max="11032" width="9.6640625" customWidth="1"/>
    <col min="11033" max="11033" width="10.109375" customWidth="1"/>
    <col min="11034" max="11034" width="13.109375" customWidth="1"/>
    <col min="11035" max="11035" width="12.109375" bestFit="1" customWidth="1"/>
    <col min="11036" max="11037" width="8.6640625" customWidth="1"/>
    <col min="11038" max="11038" width="7.6640625" customWidth="1"/>
    <col min="11039" max="11039" width="9" customWidth="1"/>
    <col min="11040" max="11040" width="8.6640625" customWidth="1"/>
    <col min="11041" max="11041" width="15.88671875" customWidth="1"/>
    <col min="11042" max="11042" width="9.109375" customWidth="1"/>
    <col min="11265" max="11267" width="6.6640625" customWidth="1"/>
    <col min="11268" max="11268" width="10.44140625" customWidth="1"/>
    <col min="11269" max="11269" width="9" customWidth="1"/>
    <col min="11270" max="11270" width="7.5546875" bestFit="1" customWidth="1"/>
    <col min="11271" max="11271" width="9.5546875" customWidth="1"/>
    <col min="11272" max="11273" width="9.44140625" customWidth="1"/>
    <col min="11274" max="11274" width="8.88671875" customWidth="1"/>
    <col min="11275" max="11275" width="8.5546875" customWidth="1"/>
    <col min="11276" max="11276" width="8.33203125" customWidth="1"/>
    <col min="11277" max="11278" width="8.88671875" customWidth="1"/>
    <col min="11279" max="11279" width="7.88671875" customWidth="1"/>
    <col min="11280" max="11280" width="9.6640625" customWidth="1"/>
    <col min="11281" max="11281" width="8.44140625" customWidth="1"/>
    <col min="11282" max="11282" width="8.5546875" customWidth="1"/>
    <col min="11283" max="11283" width="9.5546875" customWidth="1"/>
    <col min="11284" max="11284" width="10.88671875" customWidth="1"/>
    <col min="11285" max="11285" width="8.5546875" customWidth="1"/>
    <col min="11286" max="11286" width="8.33203125" customWidth="1"/>
    <col min="11287" max="11288" width="9.6640625" customWidth="1"/>
    <col min="11289" max="11289" width="10.109375" customWidth="1"/>
    <col min="11290" max="11290" width="13.109375" customWidth="1"/>
    <col min="11291" max="11291" width="12.109375" bestFit="1" customWidth="1"/>
    <col min="11292" max="11293" width="8.6640625" customWidth="1"/>
    <col min="11294" max="11294" width="7.6640625" customWidth="1"/>
    <col min="11295" max="11295" width="9" customWidth="1"/>
    <col min="11296" max="11296" width="8.6640625" customWidth="1"/>
    <col min="11297" max="11297" width="15.88671875" customWidth="1"/>
    <col min="11298" max="11298" width="9.109375" customWidth="1"/>
    <col min="11521" max="11523" width="6.6640625" customWidth="1"/>
    <col min="11524" max="11524" width="10.44140625" customWidth="1"/>
    <col min="11525" max="11525" width="9" customWidth="1"/>
    <col min="11526" max="11526" width="7.5546875" bestFit="1" customWidth="1"/>
    <col min="11527" max="11527" width="9.5546875" customWidth="1"/>
    <col min="11528" max="11529" width="9.44140625" customWidth="1"/>
    <col min="11530" max="11530" width="8.88671875" customWidth="1"/>
    <col min="11531" max="11531" width="8.5546875" customWidth="1"/>
    <col min="11532" max="11532" width="8.33203125" customWidth="1"/>
    <col min="11533" max="11534" width="8.88671875" customWidth="1"/>
    <col min="11535" max="11535" width="7.88671875" customWidth="1"/>
    <col min="11536" max="11536" width="9.6640625" customWidth="1"/>
    <col min="11537" max="11537" width="8.44140625" customWidth="1"/>
    <col min="11538" max="11538" width="8.5546875" customWidth="1"/>
    <col min="11539" max="11539" width="9.5546875" customWidth="1"/>
    <col min="11540" max="11540" width="10.88671875" customWidth="1"/>
    <col min="11541" max="11541" width="8.5546875" customWidth="1"/>
    <col min="11542" max="11542" width="8.33203125" customWidth="1"/>
    <col min="11543" max="11544" width="9.6640625" customWidth="1"/>
    <col min="11545" max="11545" width="10.109375" customWidth="1"/>
    <col min="11546" max="11546" width="13.109375" customWidth="1"/>
    <col min="11547" max="11547" width="12.109375" bestFit="1" customWidth="1"/>
    <col min="11548" max="11549" width="8.6640625" customWidth="1"/>
    <col min="11550" max="11550" width="7.6640625" customWidth="1"/>
    <col min="11551" max="11551" width="9" customWidth="1"/>
    <col min="11552" max="11552" width="8.6640625" customWidth="1"/>
    <col min="11553" max="11553" width="15.88671875" customWidth="1"/>
    <col min="11554" max="11554" width="9.109375" customWidth="1"/>
    <col min="11777" max="11779" width="6.6640625" customWidth="1"/>
    <col min="11780" max="11780" width="10.44140625" customWidth="1"/>
    <col min="11781" max="11781" width="9" customWidth="1"/>
    <col min="11782" max="11782" width="7.5546875" bestFit="1" customWidth="1"/>
    <col min="11783" max="11783" width="9.5546875" customWidth="1"/>
    <col min="11784" max="11785" width="9.44140625" customWidth="1"/>
    <col min="11786" max="11786" width="8.88671875" customWidth="1"/>
    <col min="11787" max="11787" width="8.5546875" customWidth="1"/>
    <col min="11788" max="11788" width="8.33203125" customWidth="1"/>
    <col min="11789" max="11790" width="8.88671875" customWidth="1"/>
    <col min="11791" max="11791" width="7.88671875" customWidth="1"/>
    <col min="11792" max="11792" width="9.6640625" customWidth="1"/>
    <col min="11793" max="11793" width="8.44140625" customWidth="1"/>
    <col min="11794" max="11794" width="8.5546875" customWidth="1"/>
    <col min="11795" max="11795" width="9.5546875" customWidth="1"/>
    <col min="11796" max="11796" width="10.88671875" customWidth="1"/>
    <col min="11797" max="11797" width="8.5546875" customWidth="1"/>
    <col min="11798" max="11798" width="8.33203125" customWidth="1"/>
    <col min="11799" max="11800" width="9.6640625" customWidth="1"/>
    <col min="11801" max="11801" width="10.109375" customWidth="1"/>
    <col min="11802" max="11802" width="13.109375" customWidth="1"/>
    <col min="11803" max="11803" width="12.109375" bestFit="1" customWidth="1"/>
    <col min="11804" max="11805" width="8.6640625" customWidth="1"/>
    <col min="11806" max="11806" width="7.6640625" customWidth="1"/>
    <col min="11807" max="11807" width="9" customWidth="1"/>
    <col min="11808" max="11808" width="8.6640625" customWidth="1"/>
    <col min="11809" max="11809" width="15.88671875" customWidth="1"/>
    <col min="11810" max="11810" width="9.109375" customWidth="1"/>
    <col min="12033" max="12035" width="6.6640625" customWidth="1"/>
    <col min="12036" max="12036" width="10.44140625" customWidth="1"/>
    <col min="12037" max="12037" width="9" customWidth="1"/>
    <col min="12038" max="12038" width="7.5546875" bestFit="1" customWidth="1"/>
    <col min="12039" max="12039" width="9.5546875" customWidth="1"/>
    <col min="12040" max="12041" width="9.44140625" customWidth="1"/>
    <col min="12042" max="12042" width="8.88671875" customWidth="1"/>
    <col min="12043" max="12043" width="8.5546875" customWidth="1"/>
    <col min="12044" max="12044" width="8.33203125" customWidth="1"/>
    <col min="12045" max="12046" width="8.88671875" customWidth="1"/>
    <col min="12047" max="12047" width="7.88671875" customWidth="1"/>
    <col min="12048" max="12048" width="9.6640625" customWidth="1"/>
    <col min="12049" max="12049" width="8.44140625" customWidth="1"/>
    <col min="12050" max="12050" width="8.5546875" customWidth="1"/>
    <col min="12051" max="12051" width="9.5546875" customWidth="1"/>
    <col min="12052" max="12052" width="10.88671875" customWidth="1"/>
    <col min="12053" max="12053" width="8.5546875" customWidth="1"/>
    <col min="12054" max="12054" width="8.33203125" customWidth="1"/>
    <col min="12055" max="12056" width="9.6640625" customWidth="1"/>
    <col min="12057" max="12057" width="10.109375" customWidth="1"/>
    <col min="12058" max="12058" width="13.109375" customWidth="1"/>
    <col min="12059" max="12059" width="12.109375" bestFit="1" customWidth="1"/>
    <col min="12060" max="12061" width="8.6640625" customWidth="1"/>
    <col min="12062" max="12062" width="7.6640625" customWidth="1"/>
    <col min="12063" max="12063" width="9" customWidth="1"/>
    <col min="12064" max="12064" width="8.6640625" customWidth="1"/>
    <col min="12065" max="12065" width="15.88671875" customWidth="1"/>
    <col min="12066" max="12066" width="9.109375" customWidth="1"/>
    <col min="12289" max="12291" width="6.6640625" customWidth="1"/>
    <col min="12292" max="12292" width="10.44140625" customWidth="1"/>
    <col min="12293" max="12293" width="9" customWidth="1"/>
    <col min="12294" max="12294" width="7.5546875" bestFit="1" customWidth="1"/>
    <col min="12295" max="12295" width="9.5546875" customWidth="1"/>
    <col min="12296" max="12297" width="9.44140625" customWidth="1"/>
    <col min="12298" max="12298" width="8.88671875" customWidth="1"/>
    <col min="12299" max="12299" width="8.5546875" customWidth="1"/>
    <col min="12300" max="12300" width="8.33203125" customWidth="1"/>
    <col min="12301" max="12302" width="8.88671875" customWidth="1"/>
    <col min="12303" max="12303" width="7.88671875" customWidth="1"/>
    <col min="12304" max="12304" width="9.6640625" customWidth="1"/>
    <col min="12305" max="12305" width="8.44140625" customWidth="1"/>
    <col min="12306" max="12306" width="8.5546875" customWidth="1"/>
    <col min="12307" max="12307" width="9.5546875" customWidth="1"/>
    <col min="12308" max="12308" width="10.88671875" customWidth="1"/>
    <col min="12309" max="12309" width="8.5546875" customWidth="1"/>
    <col min="12310" max="12310" width="8.33203125" customWidth="1"/>
    <col min="12311" max="12312" width="9.6640625" customWidth="1"/>
    <col min="12313" max="12313" width="10.109375" customWidth="1"/>
    <col min="12314" max="12314" width="13.109375" customWidth="1"/>
    <col min="12315" max="12315" width="12.109375" bestFit="1" customWidth="1"/>
    <col min="12316" max="12317" width="8.6640625" customWidth="1"/>
    <col min="12318" max="12318" width="7.6640625" customWidth="1"/>
    <col min="12319" max="12319" width="9" customWidth="1"/>
    <col min="12320" max="12320" width="8.6640625" customWidth="1"/>
    <col min="12321" max="12321" width="15.88671875" customWidth="1"/>
    <col min="12322" max="12322" width="9.109375" customWidth="1"/>
    <col min="12545" max="12547" width="6.6640625" customWidth="1"/>
    <col min="12548" max="12548" width="10.44140625" customWidth="1"/>
    <col min="12549" max="12549" width="9" customWidth="1"/>
    <col min="12550" max="12550" width="7.5546875" bestFit="1" customWidth="1"/>
    <col min="12551" max="12551" width="9.5546875" customWidth="1"/>
    <col min="12552" max="12553" width="9.44140625" customWidth="1"/>
    <col min="12554" max="12554" width="8.88671875" customWidth="1"/>
    <col min="12555" max="12555" width="8.5546875" customWidth="1"/>
    <col min="12556" max="12556" width="8.33203125" customWidth="1"/>
    <col min="12557" max="12558" width="8.88671875" customWidth="1"/>
    <col min="12559" max="12559" width="7.88671875" customWidth="1"/>
    <col min="12560" max="12560" width="9.6640625" customWidth="1"/>
    <col min="12561" max="12561" width="8.44140625" customWidth="1"/>
    <col min="12562" max="12562" width="8.5546875" customWidth="1"/>
    <col min="12563" max="12563" width="9.5546875" customWidth="1"/>
    <col min="12564" max="12564" width="10.88671875" customWidth="1"/>
    <col min="12565" max="12565" width="8.5546875" customWidth="1"/>
    <col min="12566" max="12566" width="8.33203125" customWidth="1"/>
    <col min="12567" max="12568" width="9.6640625" customWidth="1"/>
    <col min="12569" max="12569" width="10.109375" customWidth="1"/>
    <col min="12570" max="12570" width="13.109375" customWidth="1"/>
    <col min="12571" max="12571" width="12.109375" bestFit="1" customWidth="1"/>
    <col min="12572" max="12573" width="8.6640625" customWidth="1"/>
    <col min="12574" max="12574" width="7.6640625" customWidth="1"/>
    <col min="12575" max="12575" width="9" customWidth="1"/>
    <col min="12576" max="12576" width="8.6640625" customWidth="1"/>
    <col min="12577" max="12577" width="15.88671875" customWidth="1"/>
    <col min="12578" max="12578" width="9.109375" customWidth="1"/>
    <col min="12801" max="12803" width="6.6640625" customWidth="1"/>
    <col min="12804" max="12804" width="10.44140625" customWidth="1"/>
    <col min="12805" max="12805" width="9" customWidth="1"/>
    <col min="12806" max="12806" width="7.5546875" bestFit="1" customWidth="1"/>
    <col min="12807" max="12807" width="9.5546875" customWidth="1"/>
    <col min="12808" max="12809" width="9.44140625" customWidth="1"/>
    <col min="12810" max="12810" width="8.88671875" customWidth="1"/>
    <col min="12811" max="12811" width="8.5546875" customWidth="1"/>
    <col min="12812" max="12812" width="8.33203125" customWidth="1"/>
    <col min="12813" max="12814" width="8.88671875" customWidth="1"/>
    <col min="12815" max="12815" width="7.88671875" customWidth="1"/>
    <col min="12816" max="12816" width="9.6640625" customWidth="1"/>
    <col min="12817" max="12817" width="8.44140625" customWidth="1"/>
    <col min="12818" max="12818" width="8.5546875" customWidth="1"/>
    <col min="12819" max="12819" width="9.5546875" customWidth="1"/>
    <col min="12820" max="12820" width="10.88671875" customWidth="1"/>
    <col min="12821" max="12821" width="8.5546875" customWidth="1"/>
    <col min="12822" max="12822" width="8.33203125" customWidth="1"/>
    <col min="12823" max="12824" width="9.6640625" customWidth="1"/>
    <col min="12825" max="12825" width="10.109375" customWidth="1"/>
    <col min="12826" max="12826" width="13.109375" customWidth="1"/>
    <col min="12827" max="12827" width="12.109375" bestFit="1" customWidth="1"/>
    <col min="12828" max="12829" width="8.6640625" customWidth="1"/>
    <col min="12830" max="12830" width="7.6640625" customWidth="1"/>
    <col min="12831" max="12831" width="9" customWidth="1"/>
    <col min="12832" max="12832" width="8.6640625" customWidth="1"/>
    <col min="12833" max="12833" width="15.88671875" customWidth="1"/>
    <col min="12834" max="12834" width="9.109375" customWidth="1"/>
    <col min="13057" max="13059" width="6.6640625" customWidth="1"/>
    <col min="13060" max="13060" width="10.44140625" customWidth="1"/>
    <col min="13061" max="13061" width="9" customWidth="1"/>
    <col min="13062" max="13062" width="7.5546875" bestFit="1" customWidth="1"/>
    <col min="13063" max="13063" width="9.5546875" customWidth="1"/>
    <col min="13064" max="13065" width="9.44140625" customWidth="1"/>
    <col min="13066" max="13066" width="8.88671875" customWidth="1"/>
    <col min="13067" max="13067" width="8.5546875" customWidth="1"/>
    <col min="13068" max="13068" width="8.33203125" customWidth="1"/>
    <col min="13069" max="13070" width="8.88671875" customWidth="1"/>
    <col min="13071" max="13071" width="7.88671875" customWidth="1"/>
    <col min="13072" max="13072" width="9.6640625" customWidth="1"/>
    <col min="13073" max="13073" width="8.44140625" customWidth="1"/>
    <col min="13074" max="13074" width="8.5546875" customWidth="1"/>
    <col min="13075" max="13075" width="9.5546875" customWidth="1"/>
    <col min="13076" max="13076" width="10.88671875" customWidth="1"/>
    <col min="13077" max="13077" width="8.5546875" customWidth="1"/>
    <col min="13078" max="13078" width="8.33203125" customWidth="1"/>
    <col min="13079" max="13080" width="9.6640625" customWidth="1"/>
    <col min="13081" max="13081" width="10.109375" customWidth="1"/>
    <col min="13082" max="13082" width="13.109375" customWidth="1"/>
    <col min="13083" max="13083" width="12.109375" bestFit="1" customWidth="1"/>
    <col min="13084" max="13085" width="8.6640625" customWidth="1"/>
    <col min="13086" max="13086" width="7.6640625" customWidth="1"/>
    <col min="13087" max="13087" width="9" customWidth="1"/>
    <col min="13088" max="13088" width="8.6640625" customWidth="1"/>
    <col min="13089" max="13089" width="15.88671875" customWidth="1"/>
    <col min="13090" max="13090" width="9.109375" customWidth="1"/>
    <col min="13313" max="13315" width="6.6640625" customWidth="1"/>
    <col min="13316" max="13316" width="10.44140625" customWidth="1"/>
    <col min="13317" max="13317" width="9" customWidth="1"/>
    <col min="13318" max="13318" width="7.5546875" bestFit="1" customWidth="1"/>
    <col min="13319" max="13319" width="9.5546875" customWidth="1"/>
    <col min="13320" max="13321" width="9.44140625" customWidth="1"/>
    <col min="13322" max="13322" width="8.88671875" customWidth="1"/>
    <col min="13323" max="13323" width="8.5546875" customWidth="1"/>
    <col min="13324" max="13324" width="8.33203125" customWidth="1"/>
    <col min="13325" max="13326" width="8.88671875" customWidth="1"/>
    <col min="13327" max="13327" width="7.88671875" customWidth="1"/>
    <col min="13328" max="13328" width="9.6640625" customWidth="1"/>
    <col min="13329" max="13329" width="8.44140625" customWidth="1"/>
    <col min="13330" max="13330" width="8.5546875" customWidth="1"/>
    <col min="13331" max="13331" width="9.5546875" customWidth="1"/>
    <col min="13332" max="13332" width="10.88671875" customWidth="1"/>
    <col min="13333" max="13333" width="8.5546875" customWidth="1"/>
    <col min="13334" max="13334" width="8.33203125" customWidth="1"/>
    <col min="13335" max="13336" width="9.6640625" customWidth="1"/>
    <col min="13337" max="13337" width="10.109375" customWidth="1"/>
    <col min="13338" max="13338" width="13.109375" customWidth="1"/>
    <col min="13339" max="13339" width="12.109375" bestFit="1" customWidth="1"/>
    <col min="13340" max="13341" width="8.6640625" customWidth="1"/>
    <col min="13342" max="13342" width="7.6640625" customWidth="1"/>
    <col min="13343" max="13343" width="9" customWidth="1"/>
    <col min="13344" max="13344" width="8.6640625" customWidth="1"/>
    <col min="13345" max="13345" width="15.88671875" customWidth="1"/>
    <col min="13346" max="13346" width="9.109375" customWidth="1"/>
    <col min="13569" max="13571" width="6.6640625" customWidth="1"/>
    <col min="13572" max="13572" width="10.44140625" customWidth="1"/>
    <col min="13573" max="13573" width="9" customWidth="1"/>
    <col min="13574" max="13574" width="7.5546875" bestFit="1" customWidth="1"/>
    <col min="13575" max="13575" width="9.5546875" customWidth="1"/>
    <col min="13576" max="13577" width="9.44140625" customWidth="1"/>
    <col min="13578" max="13578" width="8.88671875" customWidth="1"/>
    <col min="13579" max="13579" width="8.5546875" customWidth="1"/>
    <col min="13580" max="13580" width="8.33203125" customWidth="1"/>
    <col min="13581" max="13582" width="8.88671875" customWidth="1"/>
    <col min="13583" max="13583" width="7.88671875" customWidth="1"/>
    <col min="13584" max="13584" width="9.6640625" customWidth="1"/>
    <col min="13585" max="13585" width="8.44140625" customWidth="1"/>
    <col min="13586" max="13586" width="8.5546875" customWidth="1"/>
    <col min="13587" max="13587" width="9.5546875" customWidth="1"/>
    <col min="13588" max="13588" width="10.88671875" customWidth="1"/>
    <col min="13589" max="13589" width="8.5546875" customWidth="1"/>
    <col min="13590" max="13590" width="8.33203125" customWidth="1"/>
    <col min="13591" max="13592" width="9.6640625" customWidth="1"/>
    <col min="13593" max="13593" width="10.109375" customWidth="1"/>
    <col min="13594" max="13594" width="13.109375" customWidth="1"/>
    <col min="13595" max="13595" width="12.109375" bestFit="1" customWidth="1"/>
    <col min="13596" max="13597" width="8.6640625" customWidth="1"/>
    <col min="13598" max="13598" width="7.6640625" customWidth="1"/>
    <col min="13599" max="13599" width="9" customWidth="1"/>
    <col min="13600" max="13600" width="8.6640625" customWidth="1"/>
    <col min="13601" max="13601" width="15.88671875" customWidth="1"/>
    <col min="13602" max="13602" width="9.109375" customWidth="1"/>
    <col min="13825" max="13827" width="6.6640625" customWidth="1"/>
    <col min="13828" max="13828" width="10.44140625" customWidth="1"/>
    <col min="13829" max="13829" width="9" customWidth="1"/>
    <col min="13830" max="13830" width="7.5546875" bestFit="1" customWidth="1"/>
    <col min="13831" max="13831" width="9.5546875" customWidth="1"/>
    <col min="13832" max="13833" width="9.44140625" customWidth="1"/>
    <col min="13834" max="13834" width="8.88671875" customWidth="1"/>
    <col min="13835" max="13835" width="8.5546875" customWidth="1"/>
    <col min="13836" max="13836" width="8.33203125" customWidth="1"/>
    <col min="13837" max="13838" width="8.88671875" customWidth="1"/>
    <col min="13839" max="13839" width="7.88671875" customWidth="1"/>
    <col min="13840" max="13840" width="9.6640625" customWidth="1"/>
    <col min="13841" max="13841" width="8.44140625" customWidth="1"/>
    <col min="13842" max="13842" width="8.5546875" customWidth="1"/>
    <col min="13843" max="13843" width="9.5546875" customWidth="1"/>
    <col min="13844" max="13844" width="10.88671875" customWidth="1"/>
    <col min="13845" max="13845" width="8.5546875" customWidth="1"/>
    <col min="13846" max="13846" width="8.33203125" customWidth="1"/>
    <col min="13847" max="13848" width="9.6640625" customWidth="1"/>
    <col min="13849" max="13849" width="10.109375" customWidth="1"/>
    <col min="13850" max="13850" width="13.109375" customWidth="1"/>
    <col min="13851" max="13851" width="12.109375" bestFit="1" customWidth="1"/>
    <col min="13852" max="13853" width="8.6640625" customWidth="1"/>
    <col min="13854" max="13854" width="7.6640625" customWidth="1"/>
    <col min="13855" max="13855" width="9" customWidth="1"/>
    <col min="13856" max="13856" width="8.6640625" customWidth="1"/>
    <col min="13857" max="13857" width="15.88671875" customWidth="1"/>
    <col min="13858" max="13858" width="9.109375" customWidth="1"/>
    <col min="14081" max="14083" width="6.6640625" customWidth="1"/>
    <col min="14084" max="14084" width="10.44140625" customWidth="1"/>
    <col min="14085" max="14085" width="9" customWidth="1"/>
    <col min="14086" max="14086" width="7.5546875" bestFit="1" customWidth="1"/>
    <col min="14087" max="14087" width="9.5546875" customWidth="1"/>
    <col min="14088" max="14089" width="9.44140625" customWidth="1"/>
    <col min="14090" max="14090" width="8.88671875" customWidth="1"/>
    <col min="14091" max="14091" width="8.5546875" customWidth="1"/>
    <col min="14092" max="14092" width="8.33203125" customWidth="1"/>
    <col min="14093" max="14094" width="8.88671875" customWidth="1"/>
    <col min="14095" max="14095" width="7.88671875" customWidth="1"/>
    <col min="14096" max="14096" width="9.6640625" customWidth="1"/>
    <col min="14097" max="14097" width="8.44140625" customWidth="1"/>
    <col min="14098" max="14098" width="8.5546875" customWidth="1"/>
    <col min="14099" max="14099" width="9.5546875" customWidth="1"/>
    <col min="14100" max="14100" width="10.88671875" customWidth="1"/>
    <col min="14101" max="14101" width="8.5546875" customWidth="1"/>
    <col min="14102" max="14102" width="8.33203125" customWidth="1"/>
    <col min="14103" max="14104" width="9.6640625" customWidth="1"/>
    <col min="14105" max="14105" width="10.109375" customWidth="1"/>
    <col min="14106" max="14106" width="13.109375" customWidth="1"/>
    <col min="14107" max="14107" width="12.109375" bestFit="1" customWidth="1"/>
    <col min="14108" max="14109" width="8.6640625" customWidth="1"/>
    <col min="14110" max="14110" width="7.6640625" customWidth="1"/>
    <col min="14111" max="14111" width="9" customWidth="1"/>
    <col min="14112" max="14112" width="8.6640625" customWidth="1"/>
    <col min="14113" max="14113" width="15.88671875" customWidth="1"/>
    <col min="14114" max="14114" width="9.109375" customWidth="1"/>
    <col min="14337" max="14339" width="6.6640625" customWidth="1"/>
    <col min="14340" max="14340" width="10.44140625" customWidth="1"/>
    <col min="14341" max="14341" width="9" customWidth="1"/>
    <col min="14342" max="14342" width="7.5546875" bestFit="1" customWidth="1"/>
    <col min="14343" max="14343" width="9.5546875" customWidth="1"/>
    <col min="14344" max="14345" width="9.44140625" customWidth="1"/>
    <col min="14346" max="14346" width="8.88671875" customWidth="1"/>
    <col min="14347" max="14347" width="8.5546875" customWidth="1"/>
    <col min="14348" max="14348" width="8.33203125" customWidth="1"/>
    <col min="14349" max="14350" width="8.88671875" customWidth="1"/>
    <col min="14351" max="14351" width="7.88671875" customWidth="1"/>
    <col min="14352" max="14352" width="9.6640625" customWidth="1"/>
    <col min="14353" max="14353" width="8.44140625" customWidth="1"/>
    <col min="14354" max="14354" width="8.5546875" customWidth="1"/>
    <col min="14355" max="14355" width="9.5546875" customWidth="1"/>
    <col min="14356" max="14356" width="10.88671875" customWidth="1"/>
    <col min="14357" max="14357" width="8.5546875" customWidth="1"/>
    <col min="14358" max="14358" width="8.33203125" customWidth="1"/>
    <col min="14359" max="14360" width="9.6640625" customWidth="1"/>
    <col min="14361" max="14361" width="10.109375" customWidth="1"/>
    <col min="14362" max="14362" width="13.109375" customWidth="1"/>
    <col min="14363" max="14363" width="12.109375" bestFit="1" customWidth="1"/>
    <col min="14364" max="14365" width="8.6640625" customWidth="1"/>
    <col min="14366" max="14366" width="7.6640625" customWidth="1"/>
    <col min="14367" max="14367" width="9" customWidth="1"/>
    <col min="14368" max="14368" width="8.6640625" customWidth="1"/>
    <col min="14369" max="14369" width="15.88671875" customWidth="1"/>
    <col min="14370" max="14370" width="9.109375" customWidth="1"/>
    <col min="14593" max="14595" width="6.6640625" customWidth="1"/>
    <col min="14596" max="14596" width="10.44140625" customWidth="1"/>
    <col min="14597" max="14597" width="9" customWidth="1"/>
    <col min="14598" max="14598" width="7.5546875" bestFit="1" customWidth="1"/>
    <col min="14599" max="14599" width="9.5546875" customWidth="1"/>
    <col min="14600" max="14601" width="9.44140625" customWidth="1"/>
    <col min="14602" max="14602" width="8.88671875" customWidth="1"/>
    <col min="14603" max="14603" width="8.5546875" customWidth="1"/>
    <col min="14604" max="14604" width="8.33203125" customWidth="1"/>
    <col min="14605" max="14606" width="8.88671875" customWidth="1"/>
    <col min="14607" max="14607" width="7.88671875" customWidth="1"/>
    <col min="14608" max="14608" width="9.6640625" customWidth="1"/>
    <col min="14609" max="14609" width="8.44140625" customWidth="1"/>
    <col min="14610" max="14610" width="8.5546875" customWidth="1"/>
    <col min="14611" max="14611" width="9.5546875" customWidth="1"/>
    <col min="14612" max="14612" width="10.88671875" customWidth="1"/>
    <col min="14613" max="14613" width="8.5546875" customWidth="1"/>
    <col min="14614" max="14614" width="8.33203125" customWidth="1"/>
    <col min="14615" max="14616" width="9.6640625" customWidth="1"/>
    <col min="14617" max="14617" width="10.109375" customWidth="1"/>
    <col min="14618" max="14618" width="13.109375" customWidth="1"/>
    <col min="14619" max="14619" width="12.109375" bestFit="1" customWidth="1"/>
    <col min="14620" max="14621" width="8.6640625" customWidth="1"/>
    <col min="14622" max="14622" width="7.6640625" customWidth="1"/>
    <col min="14623" max="14623" width="9" customWidth="1"/>
    <col min="14624" max="14624" width="8.6640625" customWidth="1"/>
    <col min="14625" max="14625" width="15.88671875" customWidth="1"/>
    <col min="14626" max="14626" width="9.109375" customWidth="1"/>
    <col min="14849" max="14851" width="6.6640625" customWidth="1"/>
    <col min="14852" max="14852" width="10.44140625" customWidth="1"/>
    <col min="14853" max="14853" width="9" customWidth="1"/>
    <col min="14854" max="14854" width="7.5546875" bestFit="1" customWidth="1"/>
    <col min="14855" max="14855" width="9.5546875" customWidth="1"/>
    <col min="14856" max="14857" width="9.44140625" customWidth="1"/>
    <col min="14858" max="14858" width="8.88671875" customWidth="1"/>
    <col min="14859" max="14859" width="8.5546875" customWidth="1"/>
    <col min="14860" max="14860" width="8.33203125" customWidth="1"/>
    <col min="14861" max="14862" width="8.88671875" customWidth="1"/>
    <col min="14863" max="14863" width="7.88671875" customWidth="1"/>
    <col min="14864" max="14864" width="9.6640625" customWidth="1"/>
    <col min="14865" max="14865" width="8.44140625" customWidth="1"/>
    <col min="14866" max="14866" width="8.5546875" customWidth="1"/>
    <col min="14867" max="14867" width="9.5546875" customWidth="1"/>
    <col min="14868" max="14868" width="10.88671875" customWidth="1"/>
    <col min="14869" max="14869" width="8.5546875" customWidth="1"/>
    <col min="14870" max="14870" width="8.33203125" customWidth="1"/>
    <col min="14871" max="14872" width="9.6640625" customWidth="1"/>
    <col min="14873" max="14873" width="10.109375" customWidth="1"/>
    <col min="14874" max="14874" width="13.109375" customWidth="1"/>
    <col min="14875" max="14875" width="12.109375" bestFit="1" customWidth="1"/>
    <col min="14876" max="14877" width="8.6640625" customWidth="1"/>
    <col min="14878" max="14878" width="7.6640625" customWidth="1"/>
    <col min="14879" max="14879" width="9" customWidth="1"/>
    <col min="14880" max="14880" width="8.6640625" customWidth="1"/>
    <col min="14881" max="14881" width="15.88671875" customWidth="1"/>
    <col min="14882" max="14882" width="9.109375" customWidth="1"/>
    <col min="15105" max="15107" width="6.6640625" customWidth="1"/>
    <col min="15108" max="15108" width="10.44140625" customWidth="1"/>
    <col min="15109" max="15109" width="9" customWidth="1"/>
    <col min="15110" max="15110" width="7.5546875" bestFit="1" customWidth="1"/>
    <col min="15111" max="15111" width="9.5546875" customWidth="1"/>
    <col min="15112" max="15113" width="9.44140625" customWidth="1"/>
    <col min="15114" max="15114" width="8.88671875" customWidth="1"/>
    <col min="15115" max="15115" width="8.5546875" customWidth="1"/>
    <col min="15116" max="15116" width="8.33203125" customWidth="1"/>
    <col min="15117" max="15118" width="8.88671875" customWidth="1"/>
    <col min="15119" max="15119" width="7.88671875" customWidth="1"/>
    <col min="15120" max="15120" width="9.6640625" customWidth="1"/>
    <col min="15121" max="15121" width="8.44140625" customWidth="1"/>
    <col min="15122" max="15122" width="8.5546875" customWidth="1"/>
    <col min="15123" max="15123" width="9.5546875" customWidth="1"/>
    <col min="15124" max="15124" width="10.88671875" customWidth="1"/>
    <col min="15125" max="15125" width="8.5546875" customWidth="1"/>
    <col min="15126" max="15126" width="8.33203125" customWidth="1"/>
    <col min="15127" max="15128" width="9.6640625" customWidth="1"/>
    <col min="15129" max="15129" width="10.109375" customWidth="1"/>
    <col min="15130" max="15130" width="13.109375" customWidth="1"/>
    <col min="15131" max="15131" width="12.109375" bestFit="1" customWidth="1"/>
    <col min="15132" max="15133" width="8.6640625" customWidth="1"/>
    <col min="15134" max="15134" width="7.6640625" customWidth="1"/>
    <col min="15135" max="15135" width="9" customWidth="1"/>
    <col min="15136" max="15136" width="8.6640625" customWidth="1"/>
    <col min="15137" max="15137" width="15.88671875" customWidth="1"/>
    <col min="15138" max="15138" width="9.109375" customWidth="1"/>
    <col min="15361" max="15363" width="6.6640625" customWidth="1"/>
    <col min="15364" max="15364" width="10.44140625" customWidth="1"/>
    <col min="15365" max="15365" width="9" customWidth="1"/>
    <col min="15366" max="15366" width="7.5546875" bestFit="1" customWidth="1"/>
    <col min="15367" max="15367" width="9.5546875" customWidth="1"/>
    <col min="15368" max="15369" width="9.44140625" customWidth="1"/>
    <col min="15370" max="15370" width="8.88671875" customWidth="1"/>
    <col min="15371" max="15371" width="8.5546875" customWidth="1"/>
    <col min="15372" max="15372" width="8.33203125" customWidth="1"/>
    <col min="15373" max="15374" width="8.88671875" customWidth="1"/>
    <col min="15375" max="15375" width="7.88671875" customWidth="1"/>
    <col min="15376" max="15376" width="9.6640625" customWidth="1"/>
    <col min="15377" max="15377" width="8.44140625" customWidth="1"/>
    <col min="15378" max="15378" width="8.5546875" customWidth="1"/>
    <col min="15379" max="15379" width="9.5546875" customWidth="1"/>
    <col min="15380" max="15380" width="10.88671875" customWidth="1"/>
    <col min="15381" max="15381" width="8.5546875" customWidth="1"/>
    <col min="15382" max="15382" width="8.33203125" customWidth="1"/>
    <col min="15383" max="15384" width="9.6640625" customWidth="1"/>
    <col min="15385" max="15385" width="10.109375" customWidth="1"/>
    <col min="15386" max="15386" width="13.109375" customWidth="1"/>
    <col min="15387" max="15387" width="12.109375" bestFit="1" customWidth="1"/>
    <col min="15388" max="15389" width="8.6640625" customWidth="1"/>
    <col min="15390" max="15390" width="7.6640625" customWidth="1"/>
    <col min="15391" max="15391" width="9" customWidth="1"/>
    <col min="15392" max="15392" width="8.6640625" customWidth="1"/>
    <col min="15393" max="15393" width="15.88671875" customWidth="1"/>
    <col min="15394" max="15394" width="9.109375" customWidth="1"/>
    <col min="15617" max="15619" width="6.6640625" customWidth="1"/>
    <col min="15620" max="15620" width="10.44140625" customWidth="1"/>
    <col min="15621" max="15621" width="9" customWidth="1"/>
    <col min="15622" max="15622" width="7.5546875" bestFit="1" customWidth="1"/>
    <col min="15623" max="15623" width="9.5546875" customWidth="1"/>
    <col min="15624" max="15625" width="9.44140625" customWidth="1"/>
    <col min="15626" max="15626" width="8.88671875" customWidth="1"/>
    <col min="15627" max="15627" width="8.5546875" customWidth="1"/>
    <col min="15628" max="15628" width="8.33203125" customWidth="1"/>
    <col min="15629" max="15630" width="8.88671875" customWidth="1"/>
    <col min="15631" max="15631" width="7.88671875" customWidth="1"/>
    <col min="15632" max="15632" width="9.6640625" customWidth="1"/>
    <col min="15633" max="15633" width="8.44140625" customWidth="1"/>
    <col min="15634" max="15634" width="8.5546875" customWidth="1"/>
    <col min="15635" max="15635" width="9.5546875" customWidth="1"/>
    <col min="15636" max="15636" width="10.88671875" customWidth="1"/>
    <col min="15637" max="15637" width="8.5546875" customWidth="1"/>
    <col min="15638" max="15638" width="8.33203125" customWidth="1"/>
    <col min="15639" max="15640" width="9.6640625" customWidth="1"/>
    <col min="15641" max="15641" width="10.109375" customWidth="1"/>
    <col min="15642" max="15642" width="13.109375" customWidth="1"/>
    <col min="15643" max="15643" width="12.109375" bestFit="1" customWidth="1"/>
    <col min="15644" max="15645" width="8.6640625" customWidth="1"/>
    <col min="15646" max="15646" width="7.6640625" customWidth="1"/>
    <col min="15647" max="15647" width="9" customWidth="1"/>
    <col min="15648" max="15648" width="8.6640625" customWidth="1"/>
    <col min="15649" max="15649" width="15.88671875" customWidth="1"/>
    <col min="15650" max="15650" width="9.109375" customWidth="1"/>
    <col min="15873" max="15875" width="6.6640625" customWidth="1"/>
    <col min="15876" max="15876" width="10.44140625" customWidth="1"/>
    <col min="15877" max="15877" width="9" customWidth="1"/>
    <col min="15878" max="15878" width="7.5546875" bestFit="1" customWidth="1"/>
    <col min="15879" max="15879" width="9.5546875" customWidth="1"/>
    <col min="15880" max="15881" width="9.44140625" customWidth="1"/>
    <col min="15882" max="15882" width="8.88671875" customWidth="1"/>
    <col min="15883" max="15883" width="8.5546875" customWidth="1"/>
    <col min="15884" max="15884" width="8.33203125" customWidth="1"/>
    <col min="15885" max="15886" width="8.88671875" customWidth="1"/>
    <col min="15887" max="15887" width="7.88671875" customWidth="1"/>
    <col min="15888" max="15888" width="9.6640625" customWidth="1"/>
    <col min="15889" max="15889" width="8.44140625" customWidth="1"/>
    <col min="15890" max="15890" width="8.5546875" customWidth="1"/>
    <col min="15891" max="15891" width="9.5546875" customWidth="1"/>
    <col min="15892" max="15892" width="10.88671875" customWidth="1"/>
    <col min="15893" max="15893" width="8.5546875" customWidth="1"/>
    <col min="15894" max="15894" width="8.33203125" customWidth="1"/>
    <col min="15895" max="15896" width="9.6640625" customWidth="1"/>
    <col min="15897" max="15897" width="10.109375" customWidth="1"/>
    <col min="15898" max="15898" width="13.109375" customWidth="1"/>
    <col min="15899" max="15899" width="12.109375" bestFit="1" customWidth="1"/>
    <col min="15900" max="15901" width="8.6640625" customWidth="1"/>
    <col min="15902" max="15902" width="7.6640625" customWidth="1"/>
    <col min="15903" max="15903" width="9" customWidth="1"/>
    <col min="15904" max="15904" width="8.6640625" customWidth="1"/>
    <col min="15905" max="15905" width="15.88671875" customWidth="1"/>
    <col min="15906" max="15906" width="9.109375" customWidth="1"/>
    <col min="16129" max="16131" width="6.6640625" customWidth="1"/>
    <col min="16132" max="16132" width="10.44140625" customWidth="1"/>
    <col min="16133" max="16133" width="9" customWidth="1"/>
    <col min="16134" max="16134" width="7.5546875" bestFit="1" customWidth="1"/>
    <col min="16135" max="16135" width="9.5546875" customWidth="1"/>
    <col min="16136" max="16137" width="9.44140625" customWidth="1"/>
    <col min="16138" max="16138" width="8.88671875" customWidth="1"/>
    <col min="16139" max="16139" width="8.5546875" customWidth="1"/>
    <col min="16140" max="16140" width="8.33203125" customWidth="1"/>
    <col min="16141" max="16142" width="8.88671875" customWidth="1"/>
    <col min="16143" max="16143" width="7.88671875" customWidth="1"/>
    <col min="16144" max="16144" width="9.6640625" customWidth="1"/>
    <col min="16145" max="16145" width="8.44140625" customWidth="1"/>
    <col min="16146" max="16146" width="8.5546875" customWidth="1"/>
    <col min="16147" max="16147" width="9.5546875" customWidth="1"/>
    <col min="16148" max="16148" width="10.88671875" customWidth="1"/>
    <col min="16149" max="16149" width="8.5546875" customWidth="1"/>
    <col min="16150" max="16150" width="8.33203125" customWidth="1"/>
    <col min="16151" max="16152" width="9.6640625" customWidth="1"/>
    <col min="16153" max="16153" width="10.109375" customWidth="1"/>
    <col min="16154" max="16154" width="13.109375" customWidth="1"/>
    <col min="16155" max="16155" width="12.109375" bestFit="1" customWidth="1"/>
    <col min="16156" max="16157" width="8.6640625" customWidth="1"/>
    <col min="16158" max="16158" width="7.6640625" customWidth="1"/>
    <col min="16159" max="16159" width="9" customWidth="1"/>
    <col min="16160" max="16160" width="8.6640625" customWidth="1"/>
    <col min="16161" max="16161" width="15.88671875" customWidth="1"/>
    <col min="16162" max="16162" width="9.109375" customWidth="1"/>
  </cols>
  <sheetData>
    <row r="1" spans="1:43" ht="30" customHeight="1" thickBot="1" x14ac:dyDescent="0.3">
      <c r="A1" s="717"/>
      <c r="B1" s="717"/>
      <c r="C1" s="717"/>
      <c r="D1" s="718" t="s">
        <v>51</v>
      </c>
      <c r="E1" s="718"/>
      <c r="F1" s="718"/>
      <c r="G1" s="718"/>
      <c r="H1" s="718"/>
      <c r="I1" s="718"/>
      <c r="J1" s="718"/>
      <c r="K1" s="718"/>
      <c r="L1" s="718"/>
      <c r="M1" s="718"/>
      <c r="N1" s="718"/>
      <c r="O1" s="718"/>
      <c r="P1" s="718"/>
      <c r="Q1" s="718"/>
      <c r="R1" s="718"/>
      <c r="S1" s="718"/>
      <c r="T1" s="718"/>
      <c r="U1" s="718"/>
      <c r="X1" s="762" t="s">
        <v>52</v>
      </c>
      <c r="Y1" s="763"/>
      <c r="Z1" s="763"/>
      <c r="AA1" s="763"/>
      <c r="AB1" s="763"/>
      <c r="AC1" s="763"/>
      <c r="AD1" s="763"/>
      <c r="AE1" s="763"/>
      <c r="AF1" s="763"/>
      <c r="AG1" s="764"/>
      <c r="AJ1" s="39"/>
      <c r="AK1" s="39"/>
      <c r="AL1" s="39"/>
      <c r="AM1" s="39"/>
    </row>
    <row r="2" spans="1:43" ht="24.75" customHeight="1" x14ac:dyDescent="0.25">
      <c r="A2" s="717"/>
      <c r="B2" s="717"/>
      <c r="C2" s="717"/>
      <c r="D2" s="719" t="s">
        <v>53</v>
      </c>
      <c r="E2" s="719"/>
      <c r="F2" s="719"/>
      <c r="G2" s="719"/>
      <c r="H2" s="719"/>
      <c r="I2" s="719"/>
      <c r="J2" s="719"/>
      <c r="X2" s="727" t="s">
        <v>54</v>
      </c>
      <c r="Y2" s="727" t="s">
        <v>55</v>
      </c>
      <c r="Z2" s="727" t="s">
        <v>56</v>
      </c>
      <c r="AA2" s="727" t="s">
        <v>57</v>
      </c>
      <c r="AB2" s="727" t="s">
        <v>58</v>
      </c>
      <c r="AC2" s="750" t="s">
        <v>0</v>
      </c>
      <c r="AD2" s="750" t="s">
        <v>1</v>
      </c>
      <c r="AE2" s="40" t="s">
        <v>59</v>
      </c>
      <c r="AF2" s="40" t="s">
        <v>60</v>
      </c>
      <c r="AG2" s="41" t="s">
        <v>61</v>
      </c>
      <c r="AH2" s="42" t="s">
        <v>61</v>
      </c>
      <c r="AI2" s="42" t="s">
        <v>61</v>
      </c>
      <c r="AJ2" s="43" t="s">
        <v>62</v>
      </c>
      <c r="AK2" s="44" t="s">
        <v>61</v>
      </c>
      <c r="AL2" s="44" t="s">
        <v>63</v>
      </c>
      <c r="AM2" s="44" t="s">
        <v>1</v>
      </c>
    </row>
    <row r="3" spans="1:43" ht="14.25" customHeight="1" thickBot="1" x14ac:dyDescent="0.3">
      <c r="X3" s="728"/>
      <c r="Y3" s="728"/>
      <c r="Z3" s="728"/>
      <c r="AA3" s="728"/>
      <c r="AB3" s="728"/>
      <c r="AC3" s="751"/>
      <c r="AD3" s="751"/>
      <c r="AE3" s="45" t="s">
        <v>64</v>
      </c>
      <c r="AF3" s="45" t="s">
        <v>64</v>
      </c>
      <c r="AG3" s="46" t="s">
        <v>65</v>
      </c>
      <c r="AH3" s="47" t="s">
        <v>66</v>
      </c>
      <c r="AI3" s="47" t="s">
        <v>67</v>
      </c>
      <c r="AJ3" s="48" t="s">
        <v>64</v>
      </c>
      <c r="AK3" s="49" t="s">
        <v>68</v>
      </c>
      <c r="AL3" s="49" t="s">
        <v>68</v>
      </c>
      <c r="AM3" s="49" t="s">
        <v>68</v>
      </c>
    </row>
    <row r="4" spans="1:43" ht="21.75" customHeight="1" x14ac:dyDescent="0.45">
      <c r="A4" s="755" t="s">
        <v>69</v>
      </c>
      <c r="B4" s="755"/>
      <c r="C4" s="755"/>
      <c r="D4" s="755"/>
      <c r="E4" s="755"/>
      <c r="F4" s="755"/>
      <c r="G4" s="755"/>
      <c r="H4" s="755"/>
      <c r="I4" s="755"/>
      <c r="J4" s="755"/>
      <c r="L4" s="756" t="s">
        <v>70</v>
      </c>
      <c r="M4" s="756"/>
      <c r="N4" s="756"/>
      <c r="O4" s="756"/>
      <c r="P4" s="756"/>
      <c r="Q4" s="756"/>
      <c r="R4" s="756"/>
      <c r="X4" s="50">
        <v>2000</v>
      </c>
      <c r="Y4" s="51" t="s">
        <v>71</v>
      </c>
      <c r="Z4" s="52" t="s">
        <v>72</v>
      </c>
      <c r="AA4" s="53" t="s">
        <v>2</v>
      </c>
      <c r="AB4" s="54"/>
      <c r="AC4" s="55">
        <f>C32*J15/N10/J12</f>
        <v>43.928571428571431</v>
      </c>
      <c r="AD4" s="55">
        <f>C32*J15/O10/J12</f>
        <v>21.964285714285715</v>
      </c>
      <c r="AE4" s="56">
        <f>+AC4*$J$12</f>
        <v>922.5</v>
      </c>
      <c r="AF4" s="57">
        <f>+AD4*$J$12</f>
        <v>461.25</v>
      </c>
      <c r="AG4" s="58">
        <f>C32-AD4</f>
        <v>224.03571428571428</v>
      </c>
      <c r="AH4" s="59">
        <f>+C49</f>
        <v>138</v>
      </c>
      <c r="AI4" s="60">
        <f>+C59</f>
        <v>90</v>
      </c>
      <c r="AJ4" s="61">
        <f>21*AG4+4*AH4+5*AI4</f>
        <v>5706.75</v>
      </c>
      <c r="AK4" s="62">
        <f>AJ4*12</f>
        <v>68481</v>
      </c>
      <c r="AL4" s="62">
        <f>AE4*12</f>
        <v>11070</v>
      </c>
      <c r="AM4" s="63">
        <f>AF4*12</f>
        <v>5535</v>
      </c>
      <c r="AN4" s="64"/>
      <c r="AO4" s="65"/>
      <c r="AP4" s="65"/>
      <c r="AQ4" s="65"/>
    </row>
    <row r="5" spans="1:43" s="67" customFormat="1" ht="13.5" customHeight="1" x14ac:dyDescent="0.25">
      <c r="A5" s="66"/>
      <c r="B5" s="66"/>
      <c r="C5" s="66"/>
      <c r="D5" s="66"/>
      <c r="E5" s="66"/>
      <c r="F5" s="66"/>
      <c r="G5" s="66"/>
      <c r="H5" s="66"/>
      <c r="I5" s="66"/>
      <c r="J5" s="66"/>
      <c r="L5"/>
      <c r="M5"/>
      <c r="N5"/>
      <c r="O5"/>
      <c r="P5"/>
      <c r="Q5"/>
      <c r="R5"/>
      <c r="X5" s="68">
        <v>3000</v>
      </c>
      <c r="Y5" s="69" t="s">
        <v>73</v>
      </c>
      <c r="Z5" s="70" t="s">
        <v>74</v>
      </c>
      <c r="AA5" s="71" t="s">
        <v>2</v>
      </c>
      <c r="AB5" s="72"/>
      <c r="AC5" s="73">
        <f>D33*J15/N10/J12</f>
        <v>15.714285714285714</v>
      </c>
      <c r="AD5" s="73">
        <f>D33*J15/O10/J12</f>
        <v>7.8571428571428568</v>
      </c>
      <c r="AE5" s="56">
        <f>+AC5*$J$12</f>
        <v>330</v>
      </c>
      <c r="AF5" s="57">
        <f t="shared" ref="AF5:AF27" si="0">+AD5*$J$12</f>
        <v>165</v>
      </c>
      <c r="AG5" s="73">
        <f>D33-AD5</f>
        <v>80.142857142857139</v>
      </c>
      <c r="AH5" s="59">
        <f>D43</f>
        <v>52</v>
      </c>
      <c r="AI5" s="60">
        <f>D53</f>
        <v>48</v>
      </c>
      <c r="AJ5" s="74">
        <f t="shared" ref="AJ5:AJ28" si="1">21*AG5+4*AH5+5*AI5</f>
        <v>2131</v>
      </c>
      <c r="AK5" s="75">
        <f t="shared" ref="AK5:AK28" si="2">AJ5*12</f>
        <v>25572</v>
      </c>
      <c r="AL5" s="75">
        <f>AE5*12</f>
        <v>3960</v>
      </c>
      <c r="AM5" s="76">
        <f t="shared" ref="AM5:AM28" si="3">AF5*12</f>
        <v>1980</v>
      </c>
    </row>
    <row r="6" spans="1:43" s="67" customFormat="1" ht="13.5" customHeight="1" thickBot="1" x14ac:dyDescent="0.35">
      <c r="A6" s="66"/>
      <c r="B6" s="66"/>
      <c r="C6" s="66"/>
      <c r="D6" s="66"/>
      <c r="E6" s="66"/>
      <c r="F6" s="66"/>
      <c r="G6" s="66"/>
      <c r="H6" s="66"/>
      <c r="I6" s="66"/>
      <c r="J6" s="66"/>
      <c r="L6"/>
      <c r="M6"/>
      <c r="N6"/>
      <c r="O6"/>
      <c r="P6"/>
      <c r="Q6"/>
      <c r="R6"/>
      <c r="X6" s="68">
        <v>3000</v>
      </c>
      <c r="Y6" s="77" t="s">
        <v>75</v>
      </c>
      <c r="Z6" s="52" t="s">
        <v>76</v>
      </c>
      <c r="AA6" s="78" t="s">
        <v>2</v>
      </c>
      <c r="AB6" s="79"/>
      <c r="AC6" s="73">
        <f>E33*J15/N11/J12</f>
        <v>33.214285714285715</v>
      </c>
      <c r="AD6" s="73">
        <f>E33*J15/O11/J12</f>
        <v>16.607142857142858</v>
      </c>
      <c r="AE6" s="56">
        <f t="shared" ref="AE6:AE27" si="4">+AC6*$J$12</f>
        <v>697.5</v>
      </c>
      <c r="AF6" s="57">
        <f t="shared" si="0"/>
        <v>348.75</v>
      </c>
      <c r="AG6" s="73">
        <f>E33-AD6</f>
        <v>169.39285714285714</v>
      </c>
      <c r="AH6" s="59">
        <f>E49</f>
        <v>78</v>
      </c>
      <c r="AI6" s="60">
        <f>E59</f>
        <v>48</v>
      </c>
      <c r="AJ6" s="75">
        <f t="shared" si="1"/>
        <v>4109.25</v>
      </c>
      <c r="AK6" s="75">
        <f t="shared" si="2"/>
        <v>49311</v>
      </c>
      <c r="AL6" s="75">
        <f t="shared" ref="AL6:AL28" si="5">AE6*12</f>
        <v>8370</v>
      </c>
      <c r="AM6" s="76">
        <f t="shared" si="3"/>
        <v>4185</v>
      </c>
    </row>
    <row r="7" spans="1:43" ht="17.25" customHeight="1" thickBot="1" x14ac:dyDescent="0.3">
      <c r="H7" s="80" t="s">
        <v>77</v>
      </c>
      <c r="I7" s="757" t="s">
        <v>54</v>
      </c>
      <c r="J7" s="758"/>
      <c r="L7" s="81" t="s">
        <v>78</v>
      </c>
      <c r="M7" s="82" t="s">
        <v>2</v>
      </c>
      <c r="N7" s="82" t="s">
        <v>0</v>
      </c>
      <c r="O7" s="82" t="s">
        <v>1</v>
      </c>
      <c r="P7" s="82" t="s">
        <v>79</v>
      </c>
      <c r="Q7" s="82" t="s">
        <v>80</v>
      </c>
      <c r="R7" s="82" t="s">
        <v>81</v>
      </c>
      <c r="X7" s="759">
        <v>3000</v>
      </c>
      <c r="Y7" s="760" t="s">
        <v>82</v>
      </c>
      <c r="Z7" s="752" t="s">
        <v>83</v>
      </c>
      <c r="AA7" s="83" t="s">
        <v>84</v>
      </c>
      <c r="AB7" s="84"/>
      <c r="AC7" s="85"/>
      <c r="AD7" s="85"/>
      <c r="AE7" s="86">
        <f t="shared" si="4"/>
        <v>0</v>
      </c>
      <c r="AF7" s="87">
        <f t="shared" si="0"/>
        <v>0</v>
      </c>
      <c r="AG7" s="85"/>
      <c r="AH7" s="88"/>
      <c r="AI7" s="89"/>
      <c r="AJ7" s="90">
        <f t="shared" si="1"/>
        <v>0</v>
      </c>
      <c r="AK7" s="90">
        <f t="shared" si="2"/>
        <v>0</v>
      </c>
      <c r="AL7" s="90">
        <f t="shared" si="5"/>
        <v>0</v>
      </c>
      <c r="AM7" s="91">
        <f t="shared" si="3"/>
        <v>0</v>
      </c>
    </row>
    <row r="8" spans="1:43" ht="12.75" customHeight="1" thickBot="1" x14ac:dyDescent="0.3">
      <c r="X8" s="733"/>
      <c r="Y8" s="735"/>
      <c r="Z8" s="761"/>
      <c r="AA8" s="92"/>
      <c r="AB8" s="84"/>
      <c r="AC8" s="85">
        <f>F33*J15/N10/J12</f>
        <v>19.285714285714285</v>
      </c>
      <c r="AD8" s="85">
        <f>F33*J15/O10/J12</f>
        <v>9.6428571428571423</v>
      </c>
      <c r="AE8" s="86">
        <f t="shared" si="4"/>
        <v>405</v>
      </c>
      <c r="AF8" s="87">
        <f t="shared" si="0"/>
        <v>202.5</v>
      </c>
      <c r="AG8" s="85">
        <f>F33-AD8</f>
        <v>98.357142857142861</v>
      </c>
      <c r="AH8" s="88">
        <f>F43</f>
        <v>52</v>
      </c>
      <c r="AI8" s="89">
        <f>F53</f>
        <v>40</v>
      </c>
      <c r="AJ8" s="93">
        <f t="shared" si="1"/>
        <v>2473.5</v>
      </c>
      <c r="AK8" s="90">
        <f t="shared" si="2"/>
        <v>29682</v>
      </c>
      <c r="AL8" s="90">
        <f t="shared" si="5"/>
        <v>4860</v>
      </c>
      <c r="AM8" s="91">
        <f t="shared" si="3"/>
        <v>2430</v>
      </c>
    </row>
    <row r="9" spans="1:43" ht="12.75" customHeight="1" thickBot="1" x14ac:dyDescent="0.3">
      <c r="A9" s="731" t="s">
        <v>85</v>
      </c>
      <c r="B9" s="731"/>
      <c r="C9" s="94" t="s">
        <v>86</v>
      </c>
      <c r="D9" s="94" t="s">
        <v>87</v>
      </c>
      <c r="E9" s="94" t="s">
        <v>88</v>
      </c>
      <c r="F9" s="94" t="s">
        <v>89</v>
      </c>
      <c r="G9" s="94" t="s">
        <v>90</v>
      </c>
      <c r="L9" s="95" t="s">
        <v>91</v>
      </c>
      <c r="M9" s="96">
        <v>1</v>
      </c>
      <c r="N9" s="97">
        <v>3.5</v>
      </c>
      <c r="O9" s="97">
        <v>14</v>
      </c>
      <c r="P9" s="97">
        <v>365</v>
      </c>
      <c r="Q9" s="97">
        <v>180</v>
      </c>
      <c r="R9" s="98"/>
      <c r="X9" s="732">
        <v>2000</v>
      </c>
      <c r="Y9" s="734" t="s">
        <v>92</v>
      </c>
      <c r="Z9" s="99" t="s">
        <v>93</v>
      </c>
      <c r="AA9" s="83" t="s">
        <v>84</v>
      </c>
      <c r="AB9" s="100"/>
      <c r="AC9" s="101">
        <f>G32*J15/N10/J12-AC10</f>
        <v>25.5</v>
      </c>
      <c r="AD9" s="101">
        <f>G32*J15/O10/J12-AD10</f>
        <v>6.75</v>
      </c>
      <c r="AE9" s="86">
        <f t="shared" si="4"/>
        <v>535.5</v>
      </c>
      <c r="AF9" s="87">
        <f t="shared" si="0"/>
        <v>141.75</v>
      </c>
      <c r="AG9" s="101">
        <f>(G32-AD9-AD10)*4/10</f>
        <v>76.5</v>
      </c>
      <c r="AH9" s="102">
        <f>G49*4/10</f>
        <v>45.6</v>
      </c>
      <c r="AI9" s="103">
        <f>G59*4/10</f>
        <v>36</v>
      </c>
      <c r="AJ9" s="104">
        <f t="shared" si="1"/>
        <v>1968.9</v>
      </c>
      <c r="AK9" s="90">
        <f t="shared" si="2"/>
        <v>23626.800000000003</v>
      </c>
      <c r="AL9" s="90">
        <f t="shared" si="5"/>
        <v>6426</v>
      </c>
      <c r="AM9" s="91">
        <f t="shared" si="3"/>
        <v>1701</v>
      </c>
    </row>
    <row r="10" spans="1:43" ht="16.5" customHeight="1" thickBot="1" x14ac:dyDescent="0.3">
      <c r="A10" s="95" t="s">
        <v>91</v>
      </c>
      <c r="B10" s="105">
        <v>8</v>
      </c>
      <c r="C10" s="106"/>
      <c r="D10" s="106"/>
      <c r="E10" s="106"/>
      <c r="F10" s="107">
        <v>8</v>
      </c>
      <c r="G10" s="108">
        <f t="shared" ref="G10:G18" si="6">F10*100/B10</f>
        <v>100</v>
      </c>
      <c r="L10" s="109">
        <v>2000</v>
      </c>
      <c r="M10" s="110">
        <v>1</v>
      </c>
      <c r="N10" s="456">
        <v>8</v>
      </c>
      <c r="O10" s="456">
        <v>16</v>
      </c>
      <c r="P10" s="111">
        <v>365</v>
      </c>
      <c r="Q10" s="111">
        <v>240</v>
      </c>
      <c r="R10" s="112"/>
      <c r="X10" s="733"/>
      <c r="Y10" s="735"/>
      <c r="Z10" s="113" t="s">
        <v>94</v>
      </c>
      <c r="AA10" s="92"/>
      <c r="AB10" s="114"/>
      <c r="AC10" s="115">
        <v>12</v>
      </c>
      <c r="AD10" s="115">
        <v>12</v>
      </c>
      <c r="AE10" s="86">
        <f t="shared" si="4"/>
        <v>252</v>
      </c>
      <c r="AF10" s="87">
        <f t="shared" si="0"/>
        <v>252</v>
      </c>
      <c r="AG10" s="115">
        <f>(G32-AD9-AD10)*6/10</f>
        <v>114.75</v>
      </c>
      <c r="AH10" s="116">
        <f>G49*6/10</f>
        <v>68.400000000000006</v>
      </c>
      <c r="AI10" s="117">
        <f>G59*6/10</f>
        <v>54</v>
      </c>
      <c r="AJ10" s="104">
        <f t="shared" si="1"/>
        <v>2953.35</v>
      </c>
      <c r="AK10" s="90">
        <f t="shared" si="2"/>
        <v>35440.199999999997</v>
      </c>
      <c r="AL10" s="90">
        <f t="shared" si="5"/>
        <v>3024</v>
      </c>
      <c r="AM10" s="91">
        <f t="shared" si="3"/>
        <v>3024</v>
      </c>
    </row>
    <row r="11" spans="1:43" ht="15" customHeight="1" thickBot="1" x14ac:dyDescent="0.3">
      <c r="A11" s="118">
        <v>2000</v>
      </c>
      <c r="B11" s="119">
        <v>736</v>
      </c>
      <c r="C11" s="107"/>
      <c r="D11" s="107"/>
      <c r="E11" s="107"/>
      <c r="F11" s="120">
        <f>B11-(C11+D11+E11)</f>
        <v>736</v>
      </c>
      <c r="G11" s="108">
        <f t="shared" si="6"/>
        <v>100</v>
      </c>
      <c r="I11" s="736" t="s">
        <v>95</v>
      </c>
      <c r="J11" s="737"/>
      <c r="L11" s="109">
        <v>3000</v>
      </c>
      <c r="M11" s="110">
        <v>1</v>
      </c>
      <c r="N11" s="111">
        <v>8</v>
      </c>
      <c r="O11" s="111">
        <v>16</v>
      </c>
      <c r="P11" s="111">
        <v>365</v>
      </c>
      <c r="Q11" s="111">
        <v>240</v>
      </c>
      <c r="R11" s="112"/>
      <c r="X11" s="121">
        <v>5000</v>
      </c>
      <c r="Y11" s="122" t="s">
        <v>96</v>
      </c>
      <c r="Z11" s="752" t="s">
        <v>97</v>
      </c>
      <c r="AA11" s="123" t="s">
        <v>98</v>
      </c>
      <c r="AB11" s="124"/>
      <c r="AC11" s="125">
        <f>(H34+I34)*J15/N12/J12</f>
        <v>7.5</v>
      </c>
      <c r="AD11" s="125">
        <f>(H34+I34)*J15/O12/J12</f>
        <v>3.75</v>
      </c>
      <c r="AE11" s="126">
        <f t="shared" si="4"/>
        <v>157.5</v>
      </c>
      <c r="AF11" s="127">
        <f t="shared" si="0"/>
        <v>78.75</v>
      </c>
      <c r="AG11" s="125">
        <f>(H34+I34)-AD11</f>
        <v>38.25</v>
      </c>
      <c r="AH11" s="128">
        <f>H44+I44</f>
        <v>0</v>
      </c>
      <c r="AI11" s="129">
        <f>H54+I54</f>
        <v>0</v>
      </c>
      <c r="AJ11" s="130">
        <f t="shared" si="1"/>
        <v>803.25</v>
      </c>
      <c r="AK11" s="131">
        <f t="shared" si="2"/>
        <v>9639</v>
      </c>
      <c r="AL11" s="131">
        <f t="shared" si="5"/>
        <v>1890</v>
      </c>
      <c r="AM11" s="132">
        <f t="shared" si="3"/>
        <v>945</v>
      </c>
    </row>
    <row r="12" spans="1:43" ht="15" customHeight="1" x14ac:dyDescent="0.25">
      <c r="A12" s="118">
        <v>3000</v>
      </c>
      <c r="B12" s="119">
        <v>432</v>
      </c>
      <c r="C12" s="107"/>
      <c r="D12" s="107"/>
      <c r="E12" s="107"/>
      <c r="F12" s="120">
        <f t="shared" ref="F12:F17" si="7">B12-(C12+D12+E12)</f>
        <v>432</v>
      </c>
      <c r="G12" s="108">
        <f>F12*100/B12</f>
        <v>100</v>
      </c>
      <c r="I12" s="133" t="s">
        <v>99</v>
      </c>
      <c r="J12" s="134">
        <v>21</v>
      </c>
      <c r="L12" s="109">
        <v>5000</v>
      </c>
      <c r="M12" s="135">
        <v>1</v>
      </c>
      <c r="N12" s="136">
        <v>8</v>
      </c>
      <c r="O12" s="136">
        <v>16</v>
      </c>
      <c r="P12" s="111">
        <v>365</v>
      </c>
      <c r="Q12" s="136">
        <v>240</v>
      </c>
      <c r="R12" s="137"/>
      <c r="X12" s="138">
        <v>8000</v>
      </c>
      <c r="Y12" s="139" t="s">
        <v>96</v>
      </c>
      <c r="Z12" s="753"/>
      <c r="AA12" s="140"/>
      <c r="AB12" s="141"/>
      <c r="AC12" s="142">
        <f>(H37+I37)*J15/N15/J12</f>
        <v>32.142857142857146</v>
      </c>
      <c r="AD12" s="142">
        <f>(I37+H37)*J15/O15/J12</f>
        <v>16.071428571428573</v>
      </c>
      <c r="AE12" s="126">
        <f t="shared" si="4"/>
        <v>675.00000000000011</v>
      </c>
      <c r="AF12" s="127">
        <f t="shared" si="0"/>
        <v>337.50000000000006</v>
      </c>
      <c r="AG12" s="143">
        <f>H37-AD12</f>
        <v>163.92857142857142</v>
      </c>
      <c r="AH12" s="144">
        <f>H47</f>
        <v>84</v>
      </c>
      <c r="AI12" s="145">
        <f>H57</f>
        <v>84</v>
      </c>
      <c r="AJ12" s="130">
        <f>21*AG12+4*AH12+5*AI12</f>
        <v>4198.5</v>
      </c>
      <c r="AK12" s="131">
        <f t="shared" si="2"/>
        <v>50382</v>
      </c>
      <c r="AL12" s="131">
        <f t="shared" si="5"/>
        <v>8100.0000000000018</v>
      </c>
      <c r="AM12" s="132">
        <f t="shared" si="3"/>
        <v>4050.0000000000009</v>
      </c>
    </row>
    <row r="13" spans="1:43" ht="15" customHeight="1" x14ac:dyDescent="0.25">
      <c r="A13" s="109">
        <v>5000</v>
      </c>
      <c r="B13" s="146">
        <v>330</v>
      </c>
      <c r="C13" s="147"/>
      <c r="D13" s="147"/>
      <c r="E13" s="147">
        <v>60</v>
      </c>
      <c r="F13" s="120">
        <f t="shared" si="7"/>
        <v>270</v>
      </c>
      <c r="G13" s="148">
        <f t="shared" si="6"/>
        <v>81.818181818181813</v>
      </c>
      <c r="I13" s="149" t="s">
        <v>66</v>
      </c>
      <c r="J13" s="150">
        <v>4</v>
      </c>
      <c r="L13" s="109">
        <v>6000</v>
      </c>
      <c r="M13" s="135">
        <v>1</v>
      </c>
      <c r="N13" s="136">
        <v>8</v>
      </c>
      <c r="O13" s="136">
        <v>16</v>
      </c>
      <c r="P13" s="111">
        <v>365</v>
      </c>
      <c r="Q13" s="136">
        <v>240</v>
      </c>
      <c r="R13" s="137"/>
      <c r="U13" s="151"/>
      <c r="X13" s="152">
        <v>9000</v>
      </c>
      <c r="Y13" s="153" t="s">
        <v>100</v>
      </c>
      <c r="Z13" s="154" t="s">
        <v>93</v>
      </c>
      <c r="AA13" s="83" t="s">
        <v>84</v>
      </c>
      <c r="AB13" s="155"/>
      <c r="AC13" s="156">
        <f>J38*J15/N16/J12</f>
        <v>24.642857142857142</v>
      </c>
      <c r="AD13" s="156">
        <f>J38*J15/O16/J12</f>
        <v>12.321428571428571</v>
      </c>
      <c r="AE13" s="86">
        <f t="shared" si="4"/>
        <v>517.5</v>
      </c>
      <c r="AF13" s="87">
        <f t="shared" si="0"/>
        <v>258.75</v>
      </c>
      <c r="AG13" s="156">
        <f>J38-AD13</f>
        <v>125.67857142857143</v>
      </c>
      <c r="AH13" s="157">
        <f>J48</f>
        <v>66</v>
      </c>
      <c r="AI13" s="158">
        <f>J58</f>
        <v>66</v>
      </c>
      <c r="AJ13" s="104">
        <f t="shared" si="1"/>
        <v>3233.25</v>
      </c>
      <c r="AK13" s="90">
        <f t="shared" si="2"/>
        <v>38799</v>
      </c>
      <c r="AL13" s="90">
        <f t="shared" si="5"/>
        <v>6210</v>
      </c>
      <c r="AM13" s="91">
        <f t="shared" si="3"/>
        <v>3105</v>
      </c>
    </row>
    <row r="14" spans="1:43" ht="15" customHeight="1" x14ac:dyDescent="0.25">
      <c r="A14" s="109">
        <v>6000</v>
      </c>
      <c r="B14" s="159">
        <v>132</v>
      </c>
      <c r="C14" s="159"/>
      <c r="D14" s="159"/>
      <c r="E14" s="159"/>
      <c r="F14" s="120">
        <f t="shared" si="7"/>
        <v>132</v>
      </c>
      <c r="G14" s="160">
        <f t="shared" si="6"/>
        <v>100</v>
      </c>
      <c r="I14" s="161" t="s">
        <v>101</v>
      </c>
      <c r="J14" s="162">
        <v>5</v>
      </c>
      <c r="L14" s="109">
        <v>7000</v>
      </c>
      <c r="M14" s="135">
        <v>1</v>
      </c>
      <c r="N14" s="136">
        <v>8</v>
      </c>
      <c r="O14" s="136">
        <v>16</v>
      </c>
      <c r="P14" s="111">
        <v>365</v>
      </c>
      <c r="Q14" s="136">
        <v>240</v>
      </c>
      <c r="R14" s="137"/>
      <c r="X14" s="138">
        <v>9000</v>
      </c>
      <c r="Y14" s="138" t="s">
        <v>102</v>
      </c>
      <c r="Z14" s="163"/>
      <c r="AA14" s="92"/>
      <c r="AB14" s="114"/>
      <c r="AC14" s="115">
        <f>K38*J15/N16/J12</f>
        <v>4.2857142857142856</v>
      </c>
      <c r="AD14" s="115">
        <f>K38*J15/O16/J12</f>
        <v>2.1428571428571428</v>
      </c>
      <c r="AE14" s="86">
        <f t="shared" si="4"/>
        <v>90</v>
      </c>
      <c r="AF14" s="87">
        <f t="shared" si="0"/>
        <v>45</v>
      </c>
      <c r="AG14" s="115">
        <f>K38-AD14</f>
        <v>21.857142857142858</v>
      </c>
      <c r="AH14" s="116">
        <f>K48</f>
        <v>12</v>
      </c>
      <c r="AI14" s="117">
        <f>K58</f>
        <v>12</v>
      </c>
      <c r="AJ14" s="104">
        <f t="shared" si="1"/>
        <v>567</v>
      </c>
      <c r="AK14" s="90">
        <f t="shared" si="2"/>
        <v>6804</v>
      </c>
      <c r="AL14" s="90">
        <f t="shared" si="5"/>
        <v>1080</v>
      </c>
      <c r="AM14" s="91">
        <f t="shared" si="3"/>
        <v>540</v>
      </c>
    </row>
    <row r="15" spans="1:43" ht="15" customHeight="1" thickBot="1" x14ac:dyDescent="0.35">
      <c r="A15" s="109">
        <v>7000</v>
      </c>
      <c r="B15" s="146">
        <v>222</v>
      </c>
      <c r="C15" s="147"/>
      <c r="D15" s="147"/>
      <c r="E15" s="147"/>
      <c r="F15" s="120">
        <f t="shared" si="7"/>
        <v>222</v>
      </c>
      <c r="G15" s="164">
        <f t="shared" si="6"/>
        <v>100</v>
      </c>
      <c r="I15" s="165" t="s">
        <v>89</v>
      </c>
      <c r="J15" s="166">
        <v>30</v>
      </c>
      <c r="L15" s="109" t="s">
        <v>103</v>
      </c>
      <c r="M15" s="167">
        <v>1</v>
      </c>
      <c r="N15" s="168">
        <v>8</v>
      </c>
      <c r="O15" s="168">
        <v>16</v>
      </c>
      <c r="P15" s="111">
        <v>365</v>
      </c>
      <c r="Q15" s="168">
        <v>240</v>
      </c>
      <c r="R15" s="169"/>
      <c r="X15" s="77">
        <v>8000</v>
      </c>
      <c r="Y15" s="77" t="s">
        <v>104</v>
      </c>
      <c r="Z15" s="52" t="s">
        <v>105</v>
      </c>
      <c r="AA15" s="170" t="s">
        <v>3</v>
      </c>
      <c r="AB15" s="171"/>
      <c r="AC15" s="172">
        <f>L37*J15/N17/J12</f>
        <v>9.2857142857142865</v>
      </c>
      <c r="AD15" s="172">
        <f>L37*J15/O17/J12</f>
        <v>4.6428571428571432</v>
      </c>
      <c r="AE15" s="173">
        <f t="shared" si="4"/>
        <v>195.00000000000003</v>
      </c>
      <c r="AF15" s="174">
        <f t="shared" si="0"/>
        <v>97.500000000000014</v>
      </c>
      <c r="AG15" s="172">
        <f>L37-AD15</f>
        <v>47.357142857142854</v>
      </c>
      <c r="AH15" s="175">
        <f>L49</f>
        <v>24</v>
      </c>
      <c r="AI15" s="176">
        <f>L59</f>
        <v>24</v>
      </c>
      <c r="AJ15" s="177">
        <f t="shared" si="1"/>
        <v>1210.5</v>
      </c>
      <c r="AK15" s="178">
        <f t="shared" si="2"/>
        <v>14526</v>
      </c>
      <c r="AL15" s="178">
        <f t="shared" si="5"/>
        <v>2340.0000000000005</v>
      </c>
      <c r="AM15" s="179">
        <f t="shared" si="3"/>
        <v>1170.0000000000002</v>
      </c>
    </row>
    <row r="16" spans="1:43" ht="15" customHeight="1" x14ac:dyDescent="0.25">
      <c r="A16" s="109">
        <v>8000</v>
      </c>
      <c r="B16" s="146">
        <v>155</v>
      </c>
      <c r="C16" s="147"/>
      <c r="D16" s="147"/>
      <c r="E16" s="147"/>
      <c r="F16" s="120">
        <f t="shared" si="7"/>
        <v>155</v>
      </c>
      <c r="G16" s="164">
        <f t="shared" si="6"/>
        <v>100</v>
      </c>
      <c r="L16" s="180">
        <v>9000</v>
      </c>
      <c r="M16" s="181">
        <v>1</v>
      </c>
      <c r="N16" s="136">
        <v>8</v>
      </c>
      <c r="O16" s="136">
        <v>16</v>
      </c>
      <c r="P16" s="136">
        <v>365</v>
      </c>
      <c r="Q16" s="136"/>
      <c r="R16" s="137"/>
      <c r="X16" s="182">
        <v>5000</v>
      </c>
      <c r="Y16" s="183" t="s">
        <v>106</v>
      </c>
      <c r="Z16" s="184" t="s">
        <v>107</v>
      </c>
      <c r="AA16" s="123" t="s">
        <v>98</v>
      </c>
      <c r="AB16" s="124"/>
      <c r="AC16" s="125">
        <f>M34*J15/N12/J12</f>
        <v>19.285714285714285</v>
      </c>
      <c r="AD16" s="125">
        <f>M34*J15/O12/J12</f>
        <v>9.6428571428571423</v>
      </c>
      <c r="AE16" s="126">
        <f>+AC16*$J$12</f>
        <v>405</v>
      </c>
      <c r="AF16" s="127">
        <f t="shared" si="0"/>
        <v>202.5</v>
      </c>
      <c r="AG16" s="125">
        <f>M34-AD16</f>
        <v>98.357142857142861</v>
      </c>
      <c r="AH16" s="128">
        <f>M44</f>
        <v>66</v>
      </c>
      <c r="AI16" s="129">
        <f>M54</f>
        <v>66</v>
      </c>
      <c r="AJ16" s="130">
        <f>21*AG16+4*AH16+5*AI16</f>
        <v>2659.5</v>
      </c>
      <c r="AK16" s="131">
        <f t="shared" si="2"/>
        <v>31914</v>
      </c>
      <c r="AL16" s="131">
        <f t="shared" si="5"/>
        <v>4860</v>
      </c>
      <c r="AM16" s="132">
        <f t="shared" si="3"/>
        <v>2430</v>
      </c>
    </row>
    <row r="17" spans="1:39" ht="15" customHeight="1" thickBot="1" x14ac:dyDescent="0.3">
      <c r="A17" s="185">
        <v>9000</v>
      </c>
      <c r="B17" s="159">
        <v>216</v>
      </c>
      <c r="C17" s="186"/>
      <c r="D17" s="186"/>
      <c r="E17" s="186"/>
      <c r="F17" s="107">
        <f t="shared" si="7"/>
        <v>216</v>
      </c>
      <c r="G17" s="187">
        <f>F17*100/B17</f>
        <v>100</v>
      </c>
      <c r="L17" s="188" t="s">
        <v>108</v>
      </c>
      <c r="M17" s="189"/>
      <c r="N17" s="190">
        <v>8</v>
      </c>
      <c r="O17" s="191">
        <v>16</v>
      </c>
      <c r="P17" s="192"/>
      <c r="Q17" s="39"/>
      <c r="R17" s="193"/>
      <c r="X17" s="194">
        <v>8000</v>
      </c>
      <c r="Y17" s="195"/>
      <c r="Z17" s="154"/>
      <c r="AA17" s="196"/>
      <c r="AB17" s="197"/>
      <c r="AC17" s="125">
        <f>M37*J15/N12/J12</f>
        <v>0</v>
      </c>
      <c r="AD17" s="125">
        <f>M37*J15/O17/J12</f>
        <v>0</v>
      </c>
      <c r="AE17" s="126">
        <f>+AC17*$J$12</f>
        <v>0</v>
      </c>
      <c r="AF17" s="127">
        <f t="shared" si="0"/>
        <v>0</v>
      </c>
      <c r="AG17" s="125">
        <f>M37-AD17</f>
        <v>0</v>
      </c>
      <c r="AH17" s="128">
        <f>M45</f>
        <v>0</v>
      </c>
      <c r="AI17" s="129">
        <f>M55</f>
        <v>0</v>
      </c>
      <c r="AJ17" s="130">
        <f>21*AG17+4*AH17+5*AI17</f>
        <v>0</v>
      </c>
      <c r="AK17" s="131">
        <f t="shared" si="2"/>
        <v>0</v>
      </c>
      <c r="AL17" s="131">
        <f t="shared" si="5"/>
        <v>0</v>
      </c>
      <c r="AM17" s="132">
        <f t="shared" si="3"/>
        <v>0</v>
      </c>
    </row>
    <row r="18" spans="1:39" ht="16.5" customHeight="1" thickBot="1" x14ac:dyDescent="0.3">
      <c r="A18" s="198" t="s">
        <v>89</v>
      </c>
      <c r="B18" s="199">
        <f>B10+B11+B12+B13+B14+B15+B16+B17</f>
        <v>2231</v>
      </c>
      <c r="C18" s="199">
        <f>C11+C13+C14+C15+C16</f>
        <v>0</v>
      </c>
      <c r="D18" s="199">
        <f>D11+D13+D14+D15+D16</f>
        <v>0</v>
      </c>
      <c r="E18" s="199">
        <f>E11+E13+E14+E15+E16</f>
        <v>60</v>
      </c>
      <c r="F18" s="199">
        <f>SUM(F10:F17)</f>
        <v>2171</v>
      </c>
      <c r="G18" s="199">
        <f t="shared" si="6"/>
        <v>97.310623038995971</v>
      </c>
      <c r="K18" s="65"/>
      <c r="L18" s="200"/>
      <c r="M18" s="201"/>
      <c r="N18" s="65"/>
      <c r="O18" s="65"/>
      <c r="P18" s="65"/>
      <c r="Q18" s="65"/>
      <c r="R18" s="65"/>
      <c r="S18" s="65"/>
      <c r="X18" s="202">
        <v>9000</v>
      </c>
      <c r="Y18" s="203"/>
      <c r="Z18" s="99" t="s">
        <v>109</v>
      </c>
      <c r="AA18" s="196"/>
      <c r="AB18" s="204"/>
      <c r="AC18" s="142">
        <f>M38*J15/N13/J12</f>
        <v>5.3571428571428568</v>
      </c>
      <c r="AD18" s="142">
        <f>M38*J15/O13/J12</f>
        <v>2.6785714285714284</v>
      </c>
      <c r="AE18" s="126">
        <f t="shared" si="4"/>
        <v>112.49999999999999</v>
      </c>
      <c r="AF18" s="127">
        <f t="shared" si="0"/>
        <v>56.249999999999993</v>
      </c>
      <c r="AG18" s="142">
        <f>M38-AD18</f>
        <v>27.321428571428573</v>
      </c>
      <c r="AH18" s="205">
        <f>M48</f>
        <v>0</v>
      </c>
      <c r="AI18" s="206">
        <f>M58</f>
        <v>0</v>
      </c>
      <c r="AJ18" s="130">
        <f t="shared" si="1"/>
        <v>573.75</v>
      </c>
      <c r="AK18" s="131">
        <f t="shared" si="2"/>
        <v>6885</v>
      </c>
      <c r="AL18" s="131">
        <f t="shared" si="5"/>
        <v>1349.9999999999998</v>
      </c>
      <c r="AM18" s="132">
        <f t="shared" si="3"/>
        <v>674.99999999999989</v>
      </c>
    </row>
    <row r="19" spans="1:39" ht="18" customHeight="1" x14ac:dyDescent="0.25">
      <c r="L19" s="65"/>
      <c r="M19" s="65"/>
      <c r="N19" s="65"/>
      <c r="O19" s="65"/>
      <c r="P19" s="65"/>
      <c r="Q19" s="65"/>
      <c r="R19" s="65"/>
      <c r="X19" s="207">
        <v>6000</v>
      </c>
      <c r="Y19" s="207" t="s">
        <v>110</v>
      </c>
      <c r="Z19" s="113" t="s">
        <v>107</v>
      </c>
      <c r="AA19" s="140"/>
      <c r="AB19" s="141"/>
      <c r="AC19" s="143">
        <f>(N35+M35)*J15/N15/J12</f>
        <v>3.0357142857142856</v>
      </c>
      <c r="AD19" s="143">
        <f>(N35+M35)*J15/O15/J12</f>
        <v>1.5178571428571428</v>
      </c>
      <c r="AE19" s="126">
        <f t="shared" si="4"/>
        <v>63.75</v>
      </c>
      <c r="AF19" s="127">
        <f t="shared" si="0"/>
        <v>31.875</v>
      </c>
      <c r="AG19" s="143">
        <f>N35-AD19</f>
        <v>15.482142857142858</v>
      </c>
      <c r="AH19" s="144">
        <f>N47</f>
        <v>0</v>
      </c>
      <c r="AI19" s="145">
        <f>N57</f>
        <v>0</v>
      </c>
      <c r="AJ19" s="131">
        <f>21*AG19+4*AH19+5*AI19</f>
        <v>325.125</v>
      </c>
      <c r="AK19" s="131">
        <f t="shared" si="2"/>
        <v>3901.5</v>
      </c>
      <c r="AL19" s="131">
        <f t="shared" si="5"/>
        <v>765</v>
      </c>
      <c r="AM19" s="132">
        <f t="shared" si="3"/>
        <v>382.5</v>
      </c>
    </row>
    <row r="20" spans="1:39" ht="12.75" customHeight="1" x14ac:dyDescent="0.25">
      <c r="A20" s="208" t="s">
        <v>86</v>
      </c>
      <c r="B20" s="209" t="s">
        <v>111</v>
      </c>
      <c r="C20" s="208"/>
      <c r="D20" s="208"/>
      <c r="X20" s="182">
        <v>7000</v>
      </c>
      <c r="Y20" s="183" t="s">
        <v>112</v>
      </c>
      <c r="Z20" s="210" t="s">
        <v>105</v>
      </c>
      <c r="AA20" s="211" t="s">
        <v>3</v>
      </c>
      <c r="AB20" s="212"/>
      <c r="AC20" s="213">
        <f>O36*$J$15/$N$14/$J$12</f>
        <v>33.214285714285715</v>
      </c>
      <c r="AD20" s="213">
        <f>O36*$J$15/$O$14/$J$12</f>
        <v>16.607142857142858</v>
      </c>
      <c r="AE20" s="214">
        <f t="shared" si="4"/>
        <v>697.5</v>
      </c>
      <c r="AF20" s="215">
        <f t="shared" si="0"/>
        <v>348.75</v>
      </c>
      <c r="AG20" s="216">
        <f>O36-AD20</f>
        <v>169.39285714285714</v>
      </c>
      <c r="AH20" s="217">
        <f>O46</f>
        <v>78</v>
      </c>
      <c r="AI20" s="218">
        <f>O56</f>
        <v>78</v>
      </c>
      <c r="AJ20" s="219">
        <f t="shared" si="1"/>
        <v>4259.25</v>
      </c>
      <c r="AK20" s="220">
        <f t="shared" si="2"/>
        <v>51111</v>
      </c>
      <c r="AL20" s="178">
        <f t="shared" si="5"/>
        <v>8370</v>
      </c>
      <c r="AM20" s="221">
        <f t="shared" si="3"/>
        <v>4185</v>
      </c>
    </row>
    <row r="21" spans="1:39" ht="12.75" customHeight="1" x14ac:dyDescent="0.25">
      <c r="A21" s="208" t="s">
        <v>87</v>
      </c>
      <c r="B21" s="209" t="s">
        <v>113</v>
      </c>
      <c r="C21" s="208"/>
      <c r="D21" s="208"/>
      <c r="X21" s="194">
        <v>8000</v>
      </c>
      <c r="Y21" s="195"/>
      <c r="Z21" s="222"/>
      <c r="AA21" s="223"/>
      <c r="AB21" s="224"/>
      <c r="AC21" s="213">
        <f>O37*$J$15/$N$14/$J$12</f>
        <v>0</v>
      </c>
      <c r="AD21" s="213">
        <f>O37*$J$15/$O$14/$J$12</f>
        <v>0</v>
      </c>
      <c r="AE21" s="214">
        <f t="shared" si="4"/>
        <v>0</v>
      </c>
      <c r="AF21" s="215">
        <f t="shared" si="0"/>
        <v>0</v>
      </c>
      <c r="AG21" s="216">
        <f>O37-AD21</f>
        <v>0</v>
      </c>
      <c r="AH21" s="217">
        <f>O47</f>
        <v>0</v>
      </c>
      <c r="AI21" s="218">
        <f>O57</f>
        <v>0</v>
      </c>
      <c r="AJ21" s="219">
        <f>21*AG21+4*AH21+5*AI21</f>
        <v>0</v>
      </c>
      <c r="AK21" s="220">
        <f>AJ21*12</f>
        <v>0</v>
      </c>
      <c r="AL21" s="178">
        <f>AE21*12</f>
        <v>0</v>
      </c>
      <c r="AM21" s="221">
        <f>AF21*12</f>
        <v>0</v>
      </c>
    </row>
    <row r="22" spans="1:39" ht="18" customHeight="1" x14ac:dyDescent="0.25">
      <c r="A22" s="208" t="s">
        <v>88</v>
      </c>
      <c r="B22" s="209" t="s">
        <v>114</v>
      </c>
      <c r="C22" s="208"/>
      <c r="D22" s="208"/>
      <c r="L22" s="225"/>
      <c r="X22" s="202">
        <v>9000</v>
      </c>
      <c r="Y22" s="203"/>
      <c r="Z22" s="226"/>
      <c r="AA22" s="223"/>
      <c r="AB22" s="227"/>
      <c r="AC22" s="228">
        <f>O38*J15/N16/J12</f>
        <v>2.1428571428571428</v>
      </c>
      <c r="AD22" s="228">
        <f>O38*J15/O16/J12</f>
        <v>1.0714285714285714</v>
      </c>
      <c r="AE22" s="173">
        <f t="shared" si="4"/>
        <v>45</v>
      </c>
      <c r="AF22" s="174">
        <f t="shared" si="0"/>
        <v>22.5</v>
      </c>
      <c r="AG22" s="228">
        <f>O38-AD22</f>
        <v>10.928571428571429</v>
      </c>
      <c r="AH22" s="229">
        <f>O48</f>
        <v>0</v>
      </c>
      <c r="AI22" s="230">
        <f>O58</f>
        <v>0</v>
      </c>
      <c r="AJ22" s="177">
        <f t="shared" si="1"/>
        <v>229.5</v>
      </c>
      <c r="AK22" s="178">
        <f t="shared" si="2"/>
        <v>2754</v>
      </c>
      <c r="AL22" s="178">
        <f t="shared" si="5"/>
        <v>540</v>
      </c>
      <c r="AM22" s="179">
        <f t="shared" si="3"/>
        <v>270</v>
      </c>
    </row>
    <row r="23" spans="1:39" ht="15.75" customHeight="1" x14ac:dyDescent="0.25">
      <c r="A23" s="231"/>
      <c r="B23" s="232"/>
      <c r="C23" s="231"/>
      <c r="D23" s="231"/>
      <c r="K23" s="65"/>
      <c r="X23" s="207">
        <v>9000</v>
      </c>
      <c r="Y23" s="207" t="s">
        <v>115</v>
      </c>
      <c r="Z23" s="233" t="s">
        <v>105</v>
      </c>
      <c r="AA23" s="234"/>
      <c r="AB23" s="235"/>
      <c r="AC23" s="236">
        <f>P38*J15/N16/J12</f>
        <v>6.9642857142857144</v>
      </c>
      <c r="AD23" s="236">
        <f>P38*J15/O16/J12</f>
        <v>3.4821428571428572</v>
      </c>
      <c r="AE23" s="173">
        <f t="shared" si="4"/>
        <v>146.25</v>
      </c>
      <c r="AF23" s="174">
        <f t="shared" si="0"/>
        <v>73.125</v>
      </c>
      <c r="AG23" s="236">
        <f>P38-AD23</f>
        <v>35.517857142857146</v>
      </c>
      <c r="AH23" s="237">
        <f>P48</f>
        <v>21</v>
      </c>
      <c r="AI23" s="238">
        <f>P58</f>
        <v>21</v>
      </c>
      <c r="AJ23" s="177">
        <f t="shared" si="1"/>
        <v>934.87500000000011</v>
      </c>
      <c r="AK23" s="178">
        <f t="shared" si="2"/>
        <v>11218.500000000002</v>
      </c>
      <c r="AL23" s="178">
        <f t="shared" si="5"/>
        <v>1755</v>
      </c>
      <c r="AM23" s="179">
        <f t="shared" si="3"/>
        <v>877.5</v>
      </c>
    </row>
    <row r="24" spans="1:39" ht="17.25" customHeight="1" x14ac:dyDescent="0.3">
      <c r="K24" s="65"/>
      <c r="X24" s="77">
        <v>8000</v>
      </c>
      <c r="Y24" s="77" t="s">
        <v>116</v>
      </c>
      <c r="Z24" s="52" t="s">
        <v>117</v>
      </c>
      <c r="AA24" s="170" t="s">
        <v>3</v>
      </c>
      <c r="AB24" s="171"/>
      <c r="AC24" s="172">
        <f>Q39*J15/N17/J12</f>
        <v>4.2857142857142856</v>
      </c>
      <c r="AD24" s="172">
        <f>Q39*J15/O17/J12</f>
        <v>2.1428571428571428</v>
      </c>
      <c r="AE24" s="173">
        <f t="shared" si="4"/>
        <v>90</v>
      </c>
      <c r="AF24" s="174">
        <f t="shared" si="0"/>
        <v>45</v>
      </c>
      <c r="AG24" s="172">
        <f>Q39-AD24</f>
        <v>21.857142857142858</v>
      </c>
      <c r="AH24" s="175">
        <f>Q49</f>
        <v>16</v>
      </c>
      <c r="AI24" s="176">
        <f>Q59</f>
        <v>16</v>
      </c>
      <c r="AJ24" s="177">
        <f t="shared" si="1"/>
        <v>603</v>
      </c>
      <c r="AK24" s="178">
        <f t="shared" si="2"/>
        <v>7236</v>
      </c>
      <c r="AL24" s="178">
        <f t="shared" si="5"/>
        <v>1080</v>
      </c>
      <c r="AM24" s="179">
        <f t="shared" si="3"/>
        <v>540</v>
      </c>
    </row>
    <row r="25" spans="1:39" ht="18" customHeight="1" x14ac:dyDescent="0.3">
      <c r="X25" s="239">
        <v>8000</v>
      </c>
      <c r="Y25" s="239" t="s">
        <v>118</v>
      </c>
      <c r="Z25" s="70" t="s">
        <v>119</v>
      </c>
      <c r="AA25" s="240" t="s">
        <v>3</v>
      </c>
      <c r="AB25" s="171"/>
      <c r="AC25" s="172">
        <f>R37*J15/N17/J12</f>
        <v>15</v>
      </c>
      <c r="AD25" s="172">
        <f>R37*J15/O17/J12</f>
        <v>7.5</v>
      </c>
      <c r="AE25" s="173">
        <f t="shared" si="4"/>
        <v>315</v>
      </c>
      <c r="AF25" s="174">
        <f t="shared" si="0"/>
        <v>157.5</v>
      </c>
      <c r="AG25" s="172">
        <f>R37-AD25</f>
        <v>76.5</v>
      </c>
      <c r="AH25" s="175">
        <f>R47</f>
        <v>48</v>
      </c>
      <c r="AI25" s="176">
        <f>R57</f>
        <v>48</v>
      </c>
      <c r="AJ25" s="177">
        <f t="shared" si="1"/>
        <v>2038.5</v>
      </c>
      <c r="AK25" s="178">
        <f t="shared" si="2"/>
        <v>24462</v>
      </c>
      <c r="AL25" s="178">
        <f t="shared" si="5"/>
        <v>3780</v>
      </c>
      <c r="AM25" s="179">
        <f t="shared" si="3"/>
        <v>1890</v>
      </c>
    </row>
    <row r="26" spans="1:39" ht="19.5" customHeight="1" thickBot="1" x14ac:dyDescent="0.35">
      <c r="A26" s="754" t="s">
        <v>120</v>
      </c>
      <c r="B26" s="754"/>
      <c r="C26" s="754"/>
      <c r="D26" s="754"/>
      <c r="E26" s="754"/>
      <c r="F26" s="754"/>
      <c r="G26" s="754"/>
      <c r="H26" s="754"/>
      <c r="I26" s="754"/>
      <c r="J26" s="754"/>
      <c r="K26" s="754"/>
      <c r="L26" s="754"/>
      <c r="M26" s="754"/>
      <c r="N26" s="754"/>
      <c r="O26" s="754"/>
      <c r="P26" s="754"/>
      <c r="Q26" s="754"/>
      <c r="R26" s="754"/>
      <c r="S26" s="754"/>
      <c r="T26" s="754"/>
      <c r="U26" s="754"/>
      <c r="X26" s="241">
        <v>3000</v>
      </c>
      <c r="Y26" s="242" t="s">
        <v>121</v>
      </c>
      <c r="Z26" s="154" t="s">
        <v>74</v>
      </c>
      <c r="AA26" s="243" t="s">
        <v>2</v>
      </c>
      <c r="AB26" s="244"/>
      <c r="AC26" s="245">
        <f>S33*J15/N10/J12</f>
        <v>1.4285714285714286</v>
      </c>
      <c r="AD26" s="245">
        <f>S33*J15/O10/J12</f>
        <v>0.7142857142857143</v>
      </c>
      <c r="AE26" s="56">
        <f t="shared" si="4"/>
        <v>30</v>
      </c>
      <c r="AF26" s="57">
        <f t="shared" si="0"/>
        <v>15</v>
      </c>
      <c r="AG26" s="245">
        <f>S33-AD26</f>
        <v>7.2857142857142856</v>
      </c>
      <c r="AH26" s="246">
        <f>S49</f>
        <v>8</v>
      </c>
      <c r="AI26" s="247">
        <f>S59</f>
        <v>8</v>
      </c>
      <c r="AJ26" s="75">
        <f>21*AG26+4*AH26+5*AI26</f>
        <v>225</v>
      </c>
      <c r="AK26" s="75">
        <f>AJ26*12</f>
        <v>2700</v>
      </c>
      <c r="AL26" s="75">
        <f t="shared" si="5"/>
        <v>360</v>
      </c>
      <c r="AM26" s="76">
        <f t="shared" si="3"/>
        <v>180</v>
      </c>
    </row>
    <row r="27" spans="1:39" ht="15" customHeight="1" thickBot="1" x14ac:dyDescent="0.35">
      <c r="X27" s="248" t="s">
        <v>91</v>
      </c>
      <c r="Y27" s="249" t="s">
        <v>122</v>
      </c>
      <c r="Z27" s="250" t="s">
        <v>123</v>
      </c>
      <c r="AA27" s="251" t="s">
        <v>123</v>
      </c>
      <c r="AB27" s="252"/>
      <c r="AC27" s="253">
        <f>T31*J15/N9/J12</f>
        <v>3.2653061224489797</v>
      </c>
      <c r="AD27" s="254">
        <f>T31*J15/O9/J12</f>
        <v>0.81632653061224492</v>
      </c>
      <c r="AE27" s="255">
        <f t="shared" si="4"/>
        <v>68.571428571428569</v>
      </c>
      <c r="AF27" s="256">
        <f t="shared" si="0"/>
        <v>17.142857142857142</v>
      </c>
      <c r="AG27" s="253">
        <f>T31-AD27</f>
        <v>7.1836734693877551</v>
      </c>
      <c r="AH27" s="257">
        <f>T41</f>
        <v>3</v>
      </c>
      <c r="AI27" s="258">
        <f>T51</f>
        <v>2</v>
      </c>
      <c r="AJ27" s="259">
        <f t="shared" si="1"/>
        <v>172.85714285714286</v>
      </c>
      <c r="AK27" s="259">
        <f t="shared" si="2"/>
        <v>2074.2857142857142</v>
      </c>
      <c r="AL27" s="259">
        <f t="shared" si="5"/>
        <v>822.85714285714289</v>
      </c>
      <c r="AM27" s="260">
        <f t="shared" si="3"/>
        <v>205.71428571428572</v>
      </c>
    </row>
    <row r="28" spans="1:39" ht="15" customHeight="1" thickBot="1" x14ac:dyDescent="0.3">
      <c r="B28" s="738" t="s">
        <v>124</v>
      </c>
      <c r="C28" s="717"/>
      <c r="D28" s="717"/>
      <c r="E28" s="717"/>
      <c r="F28" s="717"/>
      <c r="G28" s="717"/>
      <c r="H28" s="717"/>
      <c r="I28" s="717"/>
      <c r="J28" s="717"/>
      <c r="K28" s="717"/>
      <c r="L28" s="717"/>
      <c r="M28" s="717"/>
      <c r="N28" s="717"/>
      <c r="O28" s="717"/>
      <c r="P28" s="717"/>
      <c r="Q28" s="717"/>
      <c r="R28" s="717"/>
      <c r="S28" s="717"/>
      <c r="X28" s="739" t="s">
        <v>125</v>
      </c>
      <c r="Y28" s="740"/>
      <c r="Z28" s="741"/>
      <c r="AA28" s="742"/>
      <c r="AB28" s="261">
        <f>SUM(AB4:AB26)</f>
        <v>0</v>
      </c>
      <c r="AC28" s="261">
        <f>SUM(AC4:AC27)</f>
        <v>321.4795918367347</v>
      </c>
      <c r="AD28" s="261">
        <f>SUM(AD4:AD27)</f>
        <v>159.92346938775512</v>
      </c>
      <c r="AE28" s="261"/>
      <c r="AF28" s="261"/>
      <c r="AG28" s="261">
        <f>SUM(AG4:AG27)</f>
        <v>1630.0765306122448</v>
      </c>
      <c r="AH28" s="261">
        <f>SUM(AH4:AH27)</f>
        <v>860</v>
      </c>
      <c r="AI28" s="262">
        <f>SUM(AI4:AI27)</f>
        <v>741</v>
      </c>
      <c r="AJ28" s="263">
        <f t="shared" si="1"/>
        <v>41376.607142857145</v>
      </c>
      <c r="AK28" s="264">
        <f t="shared" si="2"/>
        <v>496519.28571428574</v>
      </c>
      <c r="AL28" s="264">
        <f t="shared" si="5"/>
        <v>0</v>
      </c>
      <c r="AM28" s="265">
        <f t="shared" si="3"/>
        <v>0</v>
      </c>
    </row>
    <row r="29" spans="1:39" ht="15" customHeight="1" x14ac:dyDescent="0.25">
      <c r="AJ29" s="201"/>
    </row>
    <row r="30" spans="1:39" x14ac:dyDescent="0.25">
      <c r="A30" s="743" t="s">
        <v>126</v>
      </c>
      <c r="B30" s="744"/>
      <c r="C30" s="266" t="s">
        <v>71</v>
      </c>
      <c r="D30" s="266" t="s">
        <v>73</v>
      </c>
      <c r="E30" s="266" t="s">
        <v>75</v>
      </c>
      <c r="F30" s="266" t="s">
        <v>82</v>
      </c>
      <c r="G30" s="266" t="s">
        <v>92</v>
      </c>
      <c r="H30" s="266" t="s">
        <v>127</v>
      </c>
      <c r="I30" s="266" t="s">
        <v>128</v>
      </c>
      <c r="J30" s="266" t="s">
        <v>129</v>
      </c>
      <c r="K30" s="266" t="s">
        <v>130</v>
      </c>
      <c r="L30" s="266" t="s">
        <v>104</v>
      </c>
      <c r="M30" s="266" t="s">
        <v>131</v>
      </c>
      <c r="N30" s="266" t="s">
        <v>132</v>
      </c>
      <c r="O30" s="266" t="s">
        <v>133</v>
      </c>
      <c r="P30" s="266" t="s">
        <v>134</v>
      </c>
      <c r="Q30" s="266" t="s">
        <v>116</v>
      </c>
      <c r="R30" s="266" t="s">
        <v>118</v>
      </c>
      <c r="S30" s="266" t="s">
        <v>135</v>
      </c>
      <c r="T30" s="267" t="s">
        <v>91</v>
      </c>
      <c r="U30" s="267" t="s">
        <v>89</v>
      </c>
      <c r="AC30" s="268"/>
    </row>
    <row r="31" spans="1:39" ht="12.75" customHeight="1" x14ac:dyDescent="0.25">
      <c r="B31" s="269" t="s">
        <v>91</v>
      </c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270">
        <v>8</v>
      </c>
      <c r="U31" s="271">
        <f t="shared" ref="U31:U38" si="8">SUM(C31:T31)</f>
        <v>8</v>
      </c>
      <c r="AC31" s="268"/>
    </row>
    <row r="32" spans="1:39" ht="12.75" customHeight="1" x14ac:dyDescent="0.25">
      <c r="A32" s="745" t="s">
        <v>136</v>
      </c>
      <c r="B32" s="272">
        <v>2000</v>
      </c>
      <c r="C32" s="457">
        <f>(41)*6</f>
        <v>246</v>
      </c>
      <c r="D32" s="273"/>
      <c r="E32" s="273"/>
      <c r="F32" s="273"/>
      <c r="G32" s="274">
        <f>35*6</f>
        <v>210</v>
      </c>
      <c r="H32" s="273"/>
      <c r="I32" s="273"/>
      <c r="J32" s="273"/>
      <c r="K32" s="273"/>
      <c r="L32" s="273"/>
      <c r="M32" s="273"/>
      <c r="N32" s="273"/>
      <c r="O32" s="273"/>
      <c r="P32" s="273"/>
      <c r="Q32" s="273"/>
      <c r="R32" s="273"/>
      <c r="S32" s="275"/>
      <c r="T32" s="276"/>
      <c r="U32" s="271">
        <f t="shared" si="8"/>
        <v>456</v>
      </c>
    </row>
    <row r="33" spans="1:28" ht="12.75" customHeight="1" x14ac:dyDescent="0.25">
      <c r="A33" s="746"/>
      <c r="B33" s="272">
        <v>3000</v>
      </c>
      <c r="C33" s="277"/>
      <c r="D33" s="458">
        <f>22*4</f>
        <v>88</v>
      </c>
      <c r="E33" s="458">
        <f>31*6</f>
        <v>186</v>
      </c>
      <c r="F33" s="278">
        <f>4*27</f>
        <v>108</v>
      </c>
      <c r="G33" s="279"/>
      <c r="H33" s="280"/>
      <c r="I33" s="280"/>
      <c r="J33" s="279"/>
      <c r="K33" s="279"/>
      <c r="L33" s="279"/>
      <c r="M33" s="279"/>
      <c r="N33" s="279"/>
      <c r="O33" s="279"/>
      <c r="P33" s="279"/>
      <c r="Q33" s="279"/>
      <c r="R33" s="279"/>
      <c r="S33" s="279">
        <f>2*4</f>
        <v>8</v>
      </c>
      <c r="T33" s="281"/>
      <c r="U33" s="282">
        <f t="shared" si="8"/>
        <v>390</v>
      </c>
    </row>
    <row r="34" spans="1:28" ht="12.75" customHeight="1" x14ac:dyDescent="0.25">
      <c r="A34" s="746"/>
      <c r="B34" s="283">
        <v>5000</v>
      </c>
      <c r="C34" s="284"/>
      <c r="D34" s="285"/>
      <c r="E34" s="285"/>
      <c r="F34" s="285"/>
      <c r="G34" s="285"/>
      <c r="H34" s="286">
        <f>6*7</f>
        <v>42</v>
      </c>
      <c r="I34" s="287">
        <v>0</v>
      </c>
      <c r="J34" s="285"/>
      <c r="K34" s="285"/>
      <c r="L34" s="285"/>
      <c r="M34" s="287">
        <f>6*18</f>
        <v>108</v>
      </c>
      <c r="N34" s="285">
        <v>0</v>
      </c>
      <c r="O34" s="285"/>
      <c r="P34" s="285"/>
      <c r="Q34" s="285"/>
      <c r="R34" s="285"/>
      <c r="S34" s="285"/>
      <c r="T34" s="288"/>
      <c r="U34" s="289">
        <f t="shared" si="8"/>
        <v>150</v>
      </c>
    </row>
    <row r="35" spans="1:28" ht="12.75" customHeight="1" x14ac:dyDescent="0.25">
      <c r="A35" s="746"/>
      <c r="B35" s="283">
        <v>6000</v>
      </c>
      <c r="C35" s="284"/>
      <c r="D35" s="285"/>
      <c r="E35" s="285"/>
      <c r="F35" s="285"/>
      <c r="G35" s="285"/>
      <c r="H35" s="287"/>
      <c r="I35" s="287"/>
      <c r="J35" s="285"/>
      <c r="K35" s="285"/>
      <c r="L35" s="285"/>
      <c r="M35" s="285"/>
      <c r="N35" s="285">
        <f>4*2+9</f>
        <v>17</v>
      </c>
      <c r="O35" s="285"/>
      <c r="P35" s="285"/>
      <c r="Q35" s="285"/>
      <c r="R35" s="285"/>
      <c r="S35" s="285"/>
      <c r="T35" s="288"/>
      <c r="U35" s="289">
        <f t="shared" si="8"/>
        <v>17</v>
      </c>
      <c r="AB35" s="290"/>
    </row>
    <row r="36" spans="1:28" ht="12.75" customHeight="1" x14ac:dyDescent="0.25">
      <c r="A36" s="746"/>
      <c r="B36" s="283">
        <v>7000</v>
      </c>
      <c r="C36" s="284"/>
      <c r="D36" s="285"/>
      <c r="E36" s="285"/>
      <c r="F36" s="285"/>
      <c r="G36" s="285"/>
      <c r="H36" s="287"/>
      <c r="I36" s="287"/>
      <c r="J36" s="285"/>
      <c r="K36" s="285"/>
      <c r="L36" s="285"/>
      <c r="M36" s="285"/>
      <c r="N36" s="285"/>
      <c r="O36" s="286">
        <f>6*31</f>
        <v>186</v>
      </c>
      <c r="P36" s="285"/>
      <c r="Q36" s="285"/>
      <c r="R36" s="285"/>
      <c r="S36" s="285"/>
      <c r="T36" s="288"/>
      <c r="U36" s="289">
        <f t="shared" si="8"/>
        <v>186</v>
      </c>
      <c r="AB36" s="291"/>
    </row>
    <row r="37" spans="1:28" ht="13.5" customHeight="1" x14ac:dyDescent="0.25">
      <c r="A37" s="746"/>
      <c r="B37" s="292">
        <v>8000</v>
      </c>
      <c r="C37" s="293"/>
      <c r="D37" s="285"/>
      <c r="E37" s="285"/>
      <c r="F37" s="285"/>
      <c r="G37" s="285"/>
      <c r="H37" s="287">
        <f>6*30</f>
        <v>180</v>
      </c>
      <c r="I37" s="287">
        <v>0</v>
      </c>
      <c r="J37" s="285"/>
      <c r="K37" s="285"/>
      <c r="L37" s="285">
        <f>4*13</f>
        <v>52</v>
      </c>
      <c r="M37" s="294"/>
      <c r="N37" s="285"/>
      <c r="O37" s="294"/>
      <c r="P37" s="285"/>
      <c r="Q37" s="285">
        <f>6*4</f>
        <v>24</v>
      </c>
      <c r="R37" s="286">
        <f>3*28</f>
        <v>84</v>
      </c>
      <c r="S37" s="285"/>
      <c r="T37" s="288"/>
      <c r="U37" s="289">
        <f t="shared" si="8"/>
        <v>340</v>
      </c>
    </row>
    <row r="38" spans="1:28" ht="14.1" customHeight="1" x14ac:dyDescent="0.25">
      <c r="A38" s="746"/>
      <c r="B38" s="292">
        <v>9000</v>
      </c>
      <c r="C38" s="295"/>
      <c r="D38" s="296"/>
      <c r="E38" s="296"/>
      <c r="F38" s="296"/>
      <c r="G38" s="296"/>
      <c r="H38" s="296"/>
      <c r="I38" s="296"/>
      <c r="J38" s="297">
        <f>23*6</f>
        <v>138</v>
      </c>
      <c r="K38" s="296">
        <f>8*3</f>
        <v>24</v>
      </c>
      <c r="L38" s="296"/>
      <c r="M38" s="296">
        <f>6*5</f>
        <v>30</v>
      </c>
      <c r="N38" s="296"/>
      <c r="O38" s="296">
        <f>6*2</f>
        <v>12</v>
      </c>
      <c r="P38" s="296">
        <f>3*13</f>
        <v>39</v>
      </c>
      <c r="Q38" s="296"/>
      <c r="R38" s="296"/>
      <c r="S38" s="296"/>
      <c r="T38" s="298"/>
      <c r="U38" s="299">
        <f t="shared" si="8"/>
        <v>243</v>
      </c>
    </row>
    <row r="39" spans="1:28" ht="12" customHeight="1" x14ac:dyDescent="0.25">
      <c r="A39" s="747"/>
      <c r="B39" s="266" t="s">
        <v>137</v>
      </c>
      <c r="C39" s="300">
        <f>SUM(C32:C38)</f>
        <v>246</v>
      </c>
      <c r="D39" s="301">
        <f t="shared" ref="D39:S39" si="9">SUM(D32:D38)</f>
        <v>88</v>
      </c>
      <c r="E39" s="301">
        <f t="shared" si="9"/>
        <v>186</v>
      </c>
      <c r="F39" s="301">
        <f t="shared" si="9"/>
        <v>108</v>
      </c>
      <c r="G39" s="301">
        <f t="shared" si="9"/>
        <v>210</v>
      </c>
      <c r="H39" s="301">
        <f t="shared" si="9"/>
        <v>222</v>
      </c>
      <c r="I39" s="301">
        <f t="shared" si="9"/>
        <v>0</v>
      </c>
      <c r="J39" s="301">
        <f t="shared" si="9"/>
        <v>138</v>
      </c>
      <c r="K39" s="301">
        <f t="shared" si="9"/>
        <v>24</v>
      </c>
      <c r="L39" s="301">
        <f t="shared" si="9"/>
        <v>52</v>
      </c>
      <c r="M39" s="301">
        <f t="shared" si="9"/>
        <v>138</v>
      </c>
      <c r="N39" s="301">
        <f t="shared" si="9"/>
        <v>17</v>
      </c>
      <c r="O39" s="301">
        <f t="shared" si="9"/>
        <v>198</v>
      </c>
      <c r="P39" s="301">
        <f t="shared" si="9"/>
        <v>39</v>
      </c>
      <c r="Q39" s="301">
        <f t="shared" si="9"/>
        <v>24</v>
      </c>
      <c r="R39" s="301">
        <f t="shared" si="9"/>
        <v>84</v>
      </c>
      <c r="S39" s="301">
        <f t="shared" si="9"/>
        <v>8</v>
      </c>
      <c r="T39" s="302"/>
      <c r="U39" s="303">
        <f>SUM(U31:U38)</f>
        <v>1790</v>
      </c>
    </row>
    <row r="40" spans="1:28" ht="12" customHeight="1" x14ac:dyDescent="0.25">
      <c r="A40" s="304"/>
      <c r="B40" s="305"/>
      <c r="C40" s="306"/>
      <c r="D40" s="306"/>
      <c r="E40" s="306"/>
      <c r="F40" s="306"/>
      <c r="G40" s="306"/>
      <c r="H40" s="306"/>
      <c r="I40" s="306"/>
      <c r="J40" s="306"/>
      <c r="K40" s="306"/>
      <c r="L40" s="306"/>
      <c r="M40" s="306"/>
      <c r="N40" s="306"/>
      <c r="O40" s="306"/>
      <c r="P40" s="306"/>
      <c r="Q40" s="306"/>
      <c r="R40" s="306"/>
      <c r="S40" s="306"/>
      <c r="T40" s="306"/>
      <c r="U40" s="306"/>
    </row>
    <row r="41" spans="1:28" ht="12" customHeight="1" x14ac:dyDescent="0.25">
      <c r="A41" s="307"/>
      <c r="B41" s="266" t="s">
        <v>91</v>
      </c>
      <c r="C41" s="306"/>
      <c r="D41" s="306"/>
      <c r="E41" s="306"/>
      <c r="F41" s="306"/>
      <c r="G41" s="306"/>
      <c r="H41" s="306"/>
      <c r="I41" s="306"/>
      <c r="J41" s="306"/>
      <c r="K41" s="306"/>
      <c r="L41" s="306"/>
      <c r="M41" s="306"/>
      <c r="N41" s="306"/>
      <c r="O41" s="306"/>
      <c r="P41" s="306"/>
      <c r="Q41" s="306"/>
      <c r="R41" s="306"/>
      <c r="S41" s="306"/>
      <c r="T41" s="271">
        <v>3</v>
      </c>
      <c r="U41" s="271">
        <f t="shared" ref="U41:U48" si="10">SUM(C41:T41)</f>
        <v>3</v>
      </c>
    </row>
    <row r="42" spans="1:28" ht="12" customHeight="1" x14ac:dyDescent="0.25">
      <c r="A42" s="729" t="s">
        <v>138</v>
      </c>
      <c r="B42" s="308">
        <v>2000</v>
      </c>
      <c r="C42" s="309">
        <f>6*23</f>
        <v>138</v>
      </c>
      <c r="D42" s="310"/>
      <c r="E42" s="310"/>
      <c r="F42" s="310"/>
      <c r="G42" s="310">
        <f>6*19</f>
        <v>114</v>
      </c>
      <c r="H42" s="310"/>
      <c r="I42" s="310"/>
      <c r="J42" s="310"/>
      <c r="K42" s="310"/>
      <c r="L42" s="310"/>
      <c r="M42" s="310"/>
      <c r="N42" s="310"/>
      <c r="O42" s="310"/>
      <c r="P42" s="310"/>
      <c r="Q42" s="310"/>
      <c r="R42" s="310"/>
      <c r="S42" s="310"/>
      <c r="T42" s="311"/>
      <c r="U42" s="312">
        <f t="shared" si="10"/>
        <v>252</v>
      </c>
      <c r="W42" s="313"/>
      <c r="Z42" s="65"/>
    </row>
    <row r="43" spans="1:28" ht="12" customHeight="1" x14ac:dyDescent="0.25">
      <c r="A43" s="748"/>
      <c r="B43" s="314">
        <v>3000</v>
      </c>
      <c r="C43" s="315"/>
      <c r="D43" s="316">
        <f>4*13</f>
        <v>52</v>
      </c>
      <c r="E43" s="316">
        <f>6*13</f>
        <v>78</v>
      </c>
      <c r="F43" s="316">
        <f>4*13</f>
        <v>52</v>
      </c>
      <c r="G43" s="316"/>
      <c r="H43" s="316"/>
      <c r="I43" s="316"/>
      <c r="J43" s="316"/>
      <c r="K43" s="316"/>
      <c r="L43" s="316"/>
      <c r="M43" s="316"/>
      <c r="N43" s="316"/>
      <c r="O43" s="316"/>
      <c r="P43" s="316"/>
      <c r="Q43" s="316"/>
      <c r="R43" s="316"/>
      <c r="S43" s="316">
        <v>8</v>
      </c>
      <c r="T43" s="317"/>
      <c r="U43" s="318">
        <f t="shared" si="10"/>
        <v>190</v>
      </c>
      <c r="Z43" s="65"/>
    </row>
    <row r="44" spans="1:28" ht="12" customHeight="1" x14ac:dyDescent="0.25">
      <c r="A44" s="748"/>
      <c r="B44" s="319">
        <v>5000</v>
      </c>
      <c r="C44" s="320"/>
      <c r="D44" s="321"/>
      <c r="E44" s="321"/>
      <c r="F44" s="321"/>
      <c r="G44" s="321"/>
      <c r="H44" s="321">
        <f>6*0</f>
        <v>0</v>
      </c>
      <c r="I44" s="321">
        <v>0</v>
      </c>
      <c r="J44" s="321"/>
      <c r="K44" s="321"/>
      <c r="L44" s="321"/>
      <c r="M44" s="321">
        <f>6*11</f>
        <v>66</v>
      </c>
      <c r="N44" s="321"/>
      <c r="O44" s="321"/>
      <c r="P44" s="321"/>
      <c r="Q44" s="321"/>
      <c r="R44" s="321"/>
      <c r="S44" s="321"/>
      <c r="T44" s="322"/>
      <c r="U44" s="323">
        <f t="shared" si="10"/>
        <v>66</v>
      </c>
      <c r="Y44" s="65"/>
      <c r="Z44" s="65"/>
    </row>
    <row r="45" spans="1:28" ht="12" customHeight="1" x14ac:dyDescent="0.25">
      <c r="A45" s="748"/>
      <c r="B45" s="319">
        <v>6000</v>
      </c>
      <c r="C45" s="320"/>
      <c r="D45" s="321"/>
      <c r="E45" s="321"/>
      <c r="F45" s="321"/>
      <c r="G45" s="321"/>
      <c r="H45" s="321"/>
      <c r="I45" s="321"/>
      <c r="J45" s="321"/>
      <c r="K45" s="321"/>
      <c r="L45" s="321"/>
      <c r="M45" s="321">
        <f>6*0</f>
        <v>0</v>
      </c>
      <c r="N45" s="321">
        <v>8</v>
      </c>
      <c r="O45" s="321"/>
      <c r="P45" s="321"/>
      <c r="Q45" s="321"/>
      <c r="R45" s="321"/>
      <c r="S45" s="321"/>
      <c r="T45" s="322"/>
      <c r="U45" s="323">
        <f t="shared" si="10"/>
        <v>8</v>
      </c>
      <c r="Y45" s="65"/>
      <c r="Z45" s="65"/>
    </row>
    <row r="46" spans="1:28" ht="14.1" customHeight="1" x14ac:dyDescent="0.25">
      <c r="A46" s="748"/>
      <c r="B46" s="319">
        <v>7000</v>
      </c>
      <c r="C46" s="320"/>
      <c r="D46" s="321"/>
      <c r="E46" s="321"/>
      <c r="F46" s="321"/>
      <c r="G46" s="321"/>
      <c r="H46" s="321"/>
      <c r="I46" s="321"/>
      <c r="J46" s="321"/>
      <c r="K46" s="321"/>
      <c r="L46" s="321"/>
      <c r="M46" s="321"/>
      <c r="N46" s="321"/>
      <c r="O46" s="321">
        <f>6*13</f>
        <v>78</v>
      </c>
      <c r="P46" s="321"/>
      <c r="Q46" s="321"/>
      <c r="R46" s="321"/>
      <c r="S46" s="321"/>
      <c r="T46" s="322"/>
      <c r="U46" s="323">
        <f t="shared" si="10"/>
        <v>78</v>
      </c>
      <c r="Y46" s="65"/>
      <c r="Z46" s="65"/>
    </row>
    <row r="47" spans="1:28" ht="14.1" customHeight="1" x14ac:dyDescent="0.25">
      <c r="A47" s="748"/>
      <c r="B47" s="324">
        <v>8000</v>
      </c>
      <c r="C47" s="325"/>
      <c r="D47" s="326"/>
      <c r="E47" s="326"/>
      <c r="F47" s="326"/>
      <c r="G47" s="326"/>
      <c r="H47" s="326">
        <f>6*14</f>
        <v>84</v>
      </c>
      <c r="I47" s="326">
        <v>0</v>
      </c>
      <c r="J47" s="326"/>
      <c r="K47" s="326"/>
      <c r="L47" s="326">
        <f>4*6</f>
        <v>24</v>
      </c>
      <c r="M47" s="326"/>
      <c r="N47" s="326"/>
      <c r="O47" s="326">
        <f>6*0</f>
        <v>0</v>
      </c>
      <c r="P47" s="326"/>
      <c r="Q47" s="326">
        <f>4*4</f>
        <v>16</v>
      </c>
      <c r="R47" s="326">
        <f>3*16</f>
        <v>48</v>
      </c>
      <c r="S47" s="326"/>
      <c r="T47" s="327"/>
      <c r="U47" s="328">
        <f t="shared" si="10"/>
        <v>172</v>
      </c>
      <c r="Y47" s="65"/>
      <c r="Z47" s="65"/>
    </row>
    <row r="48" spans="1:28" ht="12" customHeight="1" x14ac:dyDescent="0.25">
      <c r="A48" s="748"/>
      <c r="B48" s="324">
        <v>9000</v>
      </c>
      <c r="C48" s="329"/>
      <c r="D48" s="330"/>
      <c r="E48" s="330"/>
      <c r="F48" s="330"/>
      <c r="G48" s="330"/>
      <c r="H48" s="330"/>
      <c r="I48" s="330"/>
      <c r="J48" s="330">
        <f>6*11</f>
        <v>66</v>
      </c>
      <c r="K48" s="330">
        <f>3*4</f>
        <v>12</v>
      </c>
      <c r="L48" s="330"/>
      <c r="M48" s="330"/>
      <c r="N48" s="330"/>
      <c r="O48" s="330"/>
      <c r="P48" s="330">
        <f>3*7</f>
        <v>21</v>
      </c>
      <c r="Q48" s="330"/>
      <c r="R48" s="330"/>
      <c r="S48" s="330"/>
      <c r="T48" s="331"/>
      <c r="U48" s="332">
        <f t="shared" si="10"/>
        <v>99</v>
      </c>
      <c r="Y48" s="65"/>
      <c r="Z48" s="65"/>
    </row>
    <row r="49" spans="1:27" ht="12" customHeight="1" x14ac:dyDescent="0.25">
      <c r="A49" s="749"/>
      <c r="B49" s="333" t="s">
        <v>137</v>
      </c>
      <c r="C49" s="334">
        <f>SUM(C42:C48)</f>
        <v>138</v>
      </c>
      <c r="D49" s="335">
        <f t="shared" ref="D49:S49" si="11">SUM(D42:D48)</f>
        <v>52</v>
      </c>
      <c r="E49" s="335">
        <f t="shared" si="11"/>
        <v>78</v>
      </c>
      <c r="F49" s="335">
        <f t="shared" si="11"/>
        <v>52</v>
      </c>
      <c r="G49" s="335">
        <f t="shared" si="11"/>
        <v>114</v>
      </c>
      <c r="H49" s="335">
        <f t="shared" si="11"/>
        <v>84</v>
      </c>
      <c r="I49" s="335">
        <f t="shared" si="11"/>
        <v>0</v>
      </c>
      <c r="J49" s="335">
        <f t="shared" si="11"/>
        <v>66</v>
      </c>
      <c r="K49" s="335">
        <f t="shared" si="11"/>
        <v>12</v>
      </c>
      <c r="L49" s="335">
        <f t="shared" si="11"/>
        <v>24</v>
      </c>
      <c r="M49" s="335">
        <f t="shared" si="11"/>
        <v>66</v>
      </c>
      <c r="N49" s="335">
        <f t="shared" si="11"/>
        <v>8</v>
      </c>
      <c r="O49" s="335">
        <f t="shared" si="11"/>
        <v>78</v>
      </c>
      <c r="P49" s="335">
        <f t="shared" si="11"/>
        <v>21</v>
      </c>
      <c r="Q49" s="335">
        <f t="shared" si="11"/>
        <v>16</v>
      </c>
      <c r="R49" s="335">
        <f t="shared" si="11"/>
        <v>48</v>
      </c>
      <c r="S49" s="335">
        <f t="shared" si="11"/>
        <v>8</v>
      </c>
      <c r="T49" s="336"/>
      <c r="U49" s="337">
        <f>SUM(U41:U48)</f>
        <v>868</v>
      </c>
      <c r="AA49" s="65"/>
    </row>
    <row r="50" spans="1:27" ht="12" customHeight="1" x14ac:dyDescent="0.25">
      <c r="A50" s="338"/>
      <c r="B50" s="339"/>
      <c r="C50" s="340"/>
      <c r="D50" s="340"/>
      <c r="E50" s="340"/>
      <c r="F50" s="340"/>
      <c r="G50" s="340"/>
      <c r="H50" s="340"/>
      <c r="I50" s="340"/>
      <c r="J50" s="340"/>
      <c r="K50" s="340"/>
      <c r="L50" s="340"/>
      <c r="M50" s="340"/>
      <c r="N50" s="340"/>
      <c r="O50" s="340"/>
      <c r="P50" s="340"/>
      <c r="Q50" s="340"/>
      <c r="R50" s="340"/>
      <c r="S50" s="340"/>
      <c r="T50" s="340"/>
      <c r="U50" s="340"/>
      <c r="AA50" s="65"/>
    </row>
    <row r="51" spans="1:27" ht="12" customHeight="1" x14ac:dyDescent="0.25">
      <c r="A51" s="341"/>
      <c r="B51" s="342" t="s">
        <v>91</v>
      </c>
      <c r="C51" s="343"/>
      <c r="D51" s="343"/>
      <c r="E51" s="343"/>
      <c r="F51" s="343"/>
      <c r="G51" s="343"/>
      <c r="H51" s="343"/>
      <c r="I51" s="343"/>
      <c r="J51" s="343"/>
      <c r="K51" s="343"/>
      <c r="L51" s="343"/>
      <c r="M51" s="343"/>
      <c r="N51" s="343"/>
      <c r="O51" s="343"/>
      <c r="P51" s="343"/>
      <c r="Q51" s="343"/>
      <c r="R51" s="343"/>
      <c r="S51" s="343"/>
      <c r="T51" s="343">
        <v>2</v>
      </c>
      <c r="U51" s="312">
        <f t="shared" ref="U51:U58" si="12">SUM(C51:T51)</f>
        <v>2</v>
      </c>
    </row>
    <row r="52" spans="1:27" ht="12" customHeight="1" x14ac:dyDescent="0.25">
      <c r="A52" s="729" t="s">
        <v>139</v>
      </c>
      <c r="B52" s="308">
        <v>2000</v>
      </c>
      <c r="C52" s="309">
        <f>6*15</f>
        <v>90</v>
      </c>
      <c r="D52" s="310"/>
      <c r="E52" s="310"/>
      <c r="F52" s="310"/>
      <c r="G52" s="310">
        <f>6*15</f>
        <v>90</v>
      </c>
      <c r="H52" s="310"/>
      <c r="I52" s="310"/>
      <c r="J52" s="310"/>
      <c r="K52" s="310"/>
      <c r="L52" s="310"/>
      <c r="M52" s="310"/>
      <c r="N52" s="310"/>
      <c r="O52" s="310"/>
      <c r="P52" s="310"/>
      <c r="Q52" s="310"/>
      <c r="R52" s="310"/>
      <c r="S52" s="310"/>
      <c r="T52" s="311"/>
      <c r="U52" s="312">
        <f t="shared" si="12"/>
        <v>180</v>
      </c>
    </row>
    <row r="53" spans="1:27" ht="12" customHeight="1" x14ac:dyDescent="0.25">
      <c r="A53" s="729"/>
      <c r="B53" s="314">
        <v>3000</v>
      </c>
      <c r="C53" s="315"/>
      <c r="D53" s="316">
        <f>4*12</f>
        <v>48</v>
      </c>
      <c r="E53" s="316">
        <f>6*8</f>
        <v>48</v>
      </c>
      <c r="F53" s="316">
        <f>4*10</f>
        <v>40</v>
      </c>
      <c r="G53" s="316"/>
      <c r="H53" s="316"/>
      <c r="I53" s="316"/>
      <c r="J53" s="316"/>
      <c r="K53" s="316"/>
      <c r="L53" s="316"/>
      <c r="M53" s="316"/>
      <c r="N53" s="316"/>
      <c r="O53" s="316"/>
      <c r="P53" s="316"/>
      <c r="Q53" s="316"/>
      <c r="R53" s="316"/>
      <c r="S53" s="316">
        <v>8</v>
      </c>
      <c r="T53" s="317"/>
      <c r="U53" s="318">
        <f t="shared" si="12"/>
        <v>144</v>
      </c>
      <c r="Y53" s="65"/>
    </row>
    <row r="54" spans="1:27" ht="12" customHeight="1" x14ac:dyDescent="0.25">
      <c r="A54" s="729"/>
      <c r="B54" s="319">
        <v>5000</v>
      </c>
      <c r="C54" s="320"/>
      <c r="D54" s="321"/>
      <c r="E54" s="321"/>
      <c r="F54" s="321"/>
      <c r="G54" s="321"/>
      <c r="H54" s="321">
        <v>0</v>
      </c>
      <c r="I54" s="321">
        <f>6*0</f>
        <v>0</v>
      </c>
      <c r="J54" s="313"/>
      <c r="K54" s="321"/>
      <c r="L54" s="321"/>
      <c r="M54" s="321">
        <f>6*11</f>
        <v>66</v>
      </c>
      <c r="N54" s="321"/>
      <c r="O54" s="321"/>
      <c r="P54" s="321"/>
      <c r="Q54" s="321"/>
      <c r="R54" s="321"/>
      <c r="S54" s="321"/>
      <c r="T54" s="322"/>
      <c r="U54" s="323">
        <f t="shared" si="12"/>
        <v>66</v>
      </c>
      <c r="Y54" s="65"/>
    </row>
    <row r="55" spans="1:27" ht="12" customHeight="1" x14ac:dyDescent="0.25">
      <c r="A55" s="729"/>
      <c r="B55" s="319">
        <v>6000</v>
      </c>
      <c r="C55" s="320"/>
      <c r="D55" s="321"/>
      <c r="E55" s="321"/>
      <c r="F55" s="321"/>
      <c r="G55" s="321"/>
      <c r="H55" s="321"/>
      <c r="I55" s="321"/>
      <c r="J55" s="321"/>
      <c r="K55" s="321"/>
      <c r="L55" s="321"/>
      <c r="M55" s="321">
        <v>0</v>
      </c>
      <c r="N55" s="321">
        <v>8</v>
      </c>
      <c r="O55" s="321"/>
      <c r="P55" s="321"/>
      <c r="Q55" s="321"/>
      <c r="R55" s="321"/>
      <c r="S55" s="321"/>
      <c r="T55" s="322"/>
      <c r="U55" s="323">
        <f t="shared" si="12"/>
        <v>8</v>
      </c>
      <c r="Y55" s="65"/>
    </row>
    <row r="56" spans="1:27" x14ac:dyDescent="0.25">
      <c r="A56" s="729"/>
      <c r="B56" s="319">
        <v>7000</v>
      </c>
      <c r="C56" s="320"/>
      <c r="D56" s="321"/>
      <c r="E56" s="321"/>
      <c r="F56" s="321"/>
      <c r="G56" s="321"/>
      <c r="H56" s="321"/>
      <c r="I56" s="321"/>
      <c r="J56" s="321"/>
      <c r="K56" s="321"/>
      <c r="L56" s="321"/>
      <c r="M56" s="321"/>
      <c r="N56" s="321"/>
      <c r="O56" s="321">
        <f>6*13</f>
        <v>78</v>
      </c>
      <c r="P56" s="321"/>
      <c r="Q56" s="321"/>
      <c r="R56" s="321"/>
      <c r="S56" s="321"/>
      <c r="T56" s="322"/>
      <c r="U56" s="323">
        <f t="shared" si="12"/>
        <v>78</v>
      </c>
    </row>
    <row r="57" spans="1:27" x14ac:dyDescent="0.25">
      <c r="A57" s="729"/>
      <c r="B57" s="324">
        <v>8000</v>
      </c>
      <c r="C57" s="325"/>
      <c r="D57" s="326"/>
      <c r="E57" s="326"/>
      <c r="F57" s="326"/>
      <c r="G57" s="326"/>
      <c r="H57" s="326">
        <f>6*14</f>
        <v>84</v>
      </c>
      <c r="I57" s="326"/>
      <c r="J57" s="326"/>
      <c r="K57" s="326"/>
      <c r="L57" s="326">
        <f>4*6</f>
        <v>24</v>
      </c>
      <c r="M57" s="326"/>
      <c r="N57" s="326"/>
      <c r="O57" s="326">
        <f>6*0</f>
        <v>0</v>
      </c>
      <c r="P57" s="326"/>
      <c r="Q57" s="326">
        <f>4*4</f>
        <v>16</v>
      </c>
      <c r="R57" s="326">
        <f>3*16</f>
        <v>48</v>
      </c>
      <c r="S57" s="326"/>
      <c r="T57" s="327"/>
      <c r="U57" s="328">
        <f t="shared" si="12"/>
        <v>172</v>
      </c>
    </row>
    <row r="58" spans="1:27" x14ac:dyDescent="0.25">
      <c r="A58" s="729"/>
      <c r="B58" s="324">
        <v>9000</v>
      </c>
      <c r="C58" s="329"/>
      <c r="D58" s="330"/>
      <c r="E58" s="330"/>
      <c r="F58" s="330"/>
      <c r="G58" s="330"/>
      <c r="H58" s="330"/>
      <c r="I58" s="330"/>
      <c r="J58" s="330">
        <f>6*11</f>
        <v>66</v>
      </c>
      <c r="K58" s="330">
        <v>12</v>
      </c>
      <c r="L58" s="330"/>
      <c r="M58" s="330"/>
      <c r="N58" s="330"/>
      <c r="O58" s="330"/>
      <c r="P58" s="330">
        <f>3*7</f>
        <v>21</v>
      </c>
      <c r="Q58" s="330"/>
      <c r="R58" s="330"/>
      <c r="S58" s="330"/>
      <c r="T58" s="331"/>
      <c r="U58" s="332">
        <f t="shared" si="12"/>
        <v>99</v>
      </c>
    </row>
    <row r="59" spans="1:27" x14ac:dyDescent="0.25">
      <c r="A59" s="730"/>
      <c r="B59" s="333" t="s">
        <v>137</v>
      </c>
      <c r="C59" s="334">
        <f t="shared" ref="C59:S59" si="13">SUM(C52:C58)</f>
        <v>90</v>
      </c>
      <c r="D59" s="335">
        <f t="shared" si="13"/>
        <v>48</v>
      </c>
      <c r="E59" s="335">
        <f t="shared" si="13"/>
        <v>48</v>
      </c>
      <c r="F59" s="335">
        <f t="shared" si="13"/>
        <v>40</v>
      </c>
      <c r="G59" s="335">
        <f t="shared" si="13"/>
        <v>90</v>
      </c>
      <c r="H59" s="335">
        <f t="shared" si="13"/>
        <v>84</v>
      </c>
      <c r="I59" s="335">
        <f t="shared" si="13"/>
        <v>0</v>
      </c>
      <c r="J59" s="335">
        <f t="shared" si="13"/>
        <v>66</v>
      </c>
      <c r="K59" s="335">
        <f t="shared" si="13"/>
        <v>12</v>
      </c>
      <c r="L59" s="335">
        <f t="shared" si="13"/>
        <v>24</v>
      </c>
      <c r="M59" s="335">
        <f t="shared" si="13"/>
        <v>66</v>
      </c>
      <c r="N59" s="335">
        <f t="shared" si="13"/>
        <v>8</v>
      </c>
      <c r="O59" s="335">
        <f t="shared" si="13"/>
        <v>78</v>
      </c>
      <c r="P59" s="335">
        <f t="shared" si="13"/>
        <v>21</v>
      </c>
      <c r="Q59" s="335">
        <f t="shared" si="13"/>
        <v>16</v>
      </c>
      <c r="R59" s="335">
        <f t="shared" si="13"/>
        <v>48</v>
      </c>
      <c r="S59" s="335">
        <f t="shared" si="13"/>
        <v>8</v>
      </c>
      <c r="T59" s="336"/>
      <c r="U59" s="337">
        <f>SUM(U51:U58)</f>
        <v>749</v>
      </c>
    </row>
    <row r="60" spans="1:27" x14ac:dyDescent="0.25">
      <c r="Z60" s="344"/>
    </row>
    <row r="62" spans="1:27" ht="23.4" x14ac:dyDescent="0.25">
      <c r="C62" s="717"/>
      <c r="D62" s="717"/>
      <c r="E62" s="717"/>
      <c r="F62" s="718" t="s">
        <v>140</v>
      </c>
      <c r="G62" s="718"/>
      <c r="H62" s="718"/>
      <c r="I62" s="718"/>
      <c r="J62" s="718"/>
      <c r="K62" s="718"/>
      <c r="L62" s="718"/>
      <c r="M62" s="718"/>
      <c r="N62" s="718"/>
      <c r="O62" s="718"/>
      <c r="P62" s="718"/>
      <c r="Q62" s="718"/>
      <c r="R62" s="718"/>
    </row>
    <row r="63" spans="1:27" ht="18" x14ac:dyDescent="0.25">
      <c r="C63" s="717"/>
      <c r="D63" s="717"/>
      <c r="E63" s="717"/>
      <c r="F63" s="719" t="s">
        <v>53</v>
      </c>
      <c r="G63" s="719"/>
      <c r="H63" s="719"/>
      <c r="I63" s="719"/>
      <c r="J63" s="719"/>
      <c r="K63" s="719"/>
      <c r="L63" s="719"/>
      <c r="M63" s="345"/>
      <c r="N63" s="345"/>
      <c r="O63" s="345"/>
      <c r="P63" s="345"/>
    </row>
    <row r="66" spans="3:28" ht="17.399999999999999" x14ac:dyDescent="0.25">
      <c r="C66" s="720" t="s">
        <v>141</v>
      </c>
      <c r="D66" s="720"/>
      <c r="E66" s="720"/>
      <c r="F66" s="720"/>
      <c r="G66" s="720"/>
      <c r="H66" s="720"/>
      <c r="I66" s="720"/>
      <c r="J66" s="720"/>
      <c r="K66" s="720"/>
      <c r="L66" s="720"/>
      <c r="M66" s="720"/>
      <c r="N66" s="720"/>
      <c r="O66" s="720"/>
      <c r="P66" s="720"/>
      <c r="Q66" s="720"/>
      <c r="R66" s="720"/>
      <c r="S66" s="720"/>
      <c r="T66" s="720"/>
      <c r="U66" s="720"/>
      <c r="V66" s="720"/>
      <c r="W66" s="720"/>
    </row>
    <row r="67" spans="3:28" ht="13.8" thickBot="1" x14ac:dyDescent="0.3"/>
    <row r="68" spans="3:28" x14ac:dyDescent="0.25">
      <c r="C68" s="346"/>
      <c r="D68" s="699" t="s">
        <v>142</v>
      </c>
      <c r="E68" s="700"/>
      <c r="F68" s="700"/>
      <c r="G68" s="700"/>
      <c r="H68" s="701"/>
      <c r="I68" s="702" t="s">
        <v>143</v>
      </c>
      <c r="J68" s="703"/>
      <c r="K68" s="703"/>
      <c r="L68" s="703"/>
      <c r="M68" s="704"/>
      <c r="N68" s="721" t="s">
        <v>144</v>
      </c>
      <c r="O68" s="722"/>
      <c r="P68" s="722"/>
      <c r="Q68" s="722"/>
      <c r="R68" s="723"/>
      <c r="S68" s="724" t="s">
        <v>145</v>
      </c>
      <c r="T68" s="725"/>
      <c r="U68" s="725"/>
      <c r="V68" s="725"/>
      <c r="W68" s="726"/>
    </row>
    <row r="69" spans="3:28" ht="13.8" thickBot="1" x14ac:dyDescent="0.3">
      <c r="C69" s="263"/>
      <c r="D69" s="347" t="s">
        <v>2</v>
      </c>
      <c r="E69" s="348" t="s">
        <v>0</v>
      </c>
      <c r="F69" s="348" t="s">
        <v>1</v>
      </c>
      <c r="G69" s="348" t="s">
        <v>146</v>
      </c>
      <c r="H69" s="349" t="s">
        <v>147</v>
      </c>
      <c r="I69" s="347" t="s">
        <v>2</v>
      </c>
      <c r="J69" s="348" t="s">
        <v>0</v>
      </c>
      <c r="K69" s="348" t="s">
        <v>1</v>
      </c>
      <c r="L69" s="348" t="s">
        <v>146</v>
      </c>
      <c r="M69" s="349" t="s">
        <v>147</v>
      </c>
      <c r="N69" s="347" t="s">
        <v>2</v>
      </c>
      <c r="O69" s="348" t="s">
        <v>0</v>
      </c>
      <c r="P69" s="348" t="s">
        <v>1</v>
      </c>
      <c r="Q69" s="348" t="s">
        <v>146</v>
      </c>
      <c r="R69" s="349" t="s">
        <v>147</v>
      </c>
      <c r="S69" s="347" t="s">
        <v>2</v>
      </c>
      <c r="T69" s="348" t="s">
        <v>0</v>
      </c>
      <c r="U69" s="348" t="s">
        <v>1</v>
      </c>
      <c r="V69" s="348" t="s">
        <v>146</v>
      </c>
      <c r="W69" s="350" t="s">
        <v>147</v>
      </c>
    </row>
    <row r="70" spans="3:28" ht="13.8" thickBot="1" x14ac:dyDescent="0.3">
      <c r="C70" s="263" t="s">
        <v>91</v>
      </c>
      <c r="D70" s="351"/>
      <c r="E70" s="352"/>
      <c r="F70" s="352"/>
      <c r="G70" s="353"/>
      <c r="H70" s="353"/>
      <c r="I70" s="351"/>
      <c r="J70" s="352"/>
      <c r="K70" s="352"/>
      <c r="L70" s="353"/>
      <c r="M70" s="354"/>
      <c r="N70" s="353"/>
      <c r="O70" s="353"/>
      <c r="P70" s="353"/>
      <c r="Q70" s="353"/>
      <c r="R70" s="354"/>
      <c r="S70" s="353"/>
      <c r="T70" s="353"/>
      <c r="U70" s="353"/>
      <c r="V70" s="353"/>
      <c r="W70" s="353"/>
      <c r="X70" s="695" t="s">
        <v>123</v>
      </c>
      <c r="Y70" s="696"/>
      <c r="Z70" s="696"/>
      <c r="AA70" s="696"/>
      <c r="AB70" s="697"/>
    </row>
    <row r="71" spans="3:28" x14ac:dyDescent="0.25">
      <c r="C71" s="355">
        <v>2000</v>
      </c>
      <c r="D71" s="356">
        <f>+AG4</f>
        <v>224.03571428571428</v>
      </c>
      <c r="E71" s="357">
        <f>AC4</f>
        <v>43.928571428571431</v>
      </c>
      <c r="F71" s="357">
        <f>+AD4</f>
        <v>21.964285714285715</v>
      </c>
      <c r="G71" s="357">
        <f>AH4</f>
        <v>138</v>
      </c>
      <c r="H71" s="358">
        <f>AI4</f>
        <v>90</v>
      </c>
      <c r="I71" s="359">
        <f>AG9+AG10</f>
        <v>191.25</v>
      </c>
      <c r="J71" s="360">
        <f>AC9+AC10</f>
        <v>37.5</v>
      </c>
      <c r="K71" s="360">
        <f>AD9+AD10</f>
        <v>18.75</v>
      </c>
      <c r="L71" s="360">
        <f>AH9+AH10</f>
        <v>114</v>
      </c>
      <c r="M71" s="361">
        <f>AI9+AI10</f>
        <v>90</v>
      </c>
      <c r="N71" s="362"/>
      <c r="O71" s="363"/>
      <c r="P71" s="363"/>
      <c r="Q71" s="363"/>
      <c r="R71" s="364"/>
      <c r="S71" s="362"/>
      <c r="T71" s="363"/>
      <c r="U71" s="363"/>
      <c r="V71" s="363"/>
      <c r="W71" s="365"/>
      <c r="X71" s="366" t="s">
        <v>2</v>
      </c>
      <c r="Y71" s="266" t="s">
        <v>0</v>
      </c>
      <c r="Z71" s="266" t="s">
        <v>1</v>
      </c>
      <c r="AA71" s="266" t="s">
        <v>146</v>
      </c>
      <c r="AB71" s="367" t="s">
        <v>147</v>
      </c>
    </row>
    <row r="72" spans="3:28" x14ac:dyDescent="0.25">
      <c r="C72" s="368">
        <v>3000</v>
      </c>
      <c r="D72" s="369">
        <f>AG6+AG5+AG26</f>
        <v>256.82142857142856</v>
      </c>
      <c r="E72" s="370">
        <f>AC6+AC5+AC26</f>
        <v>50.357142857142861</v>
      </c>
      <c r="F72" s="370">
        <f>AD6+AD5+AD26</f>
        <v>25.178571428571431</v>
      </c>
      <c r="G72" s="371">
        <f>AH6+AH5+AH26</f>
        <v>138</v>
      </c>
      <c r="H72" s="372">
        <f>AI6+AI26+AI5</f>
        <v>104</v>
      </c>
      <c r="I72" s="373">
        <f>AG8</f>
        <v>98.357142857142861</v>
      </c>
      <c r="J72" s="374">
        <f>AC8</f>
        <v>19.285714285714285</v>
      </c>
      <c r="K72" s="374">
        <f>AD8</f>
        <v>9.6428571428571423</v>
      </c>
      <c r="L72" s="374">
        <f>AH8</f>
        <v>52</v>
      </c>
      <c r="M72" s="375">
        <f>AI8</f>
        <v>40</v>
      </c>
      <c r="N72" s="376"/>
      <c r="O72" s="377"/>
      <c r="P72" s="377"/>
      <c r="Q72" s="377"/>
      <c r="R72" s="378"/>
      <c r="S72" s="376"/>
      <c r="T72" s="377"/>
      <c r="U72" s="377"/>
      <c r="V72" s="377"/>
      <c r="W72" s="379"/>
      <c r="X72" s="380"/>
      <c r="Y72" s="269"/>
      <c r="Z72" s="269"/>
      <c r="AA72" s="269"/>
      <c r="AB72" s="381"/>
    </row>
    <row r="73" spans="3:28" x14ac:dyDescent="0.25">
      <c r="C73" s="382">
        <v>5000</v>
      </c>
      <c r="D73" s="383"/>
      <c r="E73" s="384"/>
      <c r="F73" s="384"/>
      <c r="G73" s="385"/>
      <c r="H73" s="386"/>
      <c r="I73" s="383"/>
      <c r="J73" s="384"/>
      <c r="K73" s="384"/>
      <c r="L73" s="384"/>
      <c r="M73" s="387"/>
      <c r="N73" s="388">
        <f>AG16+AG11</f>
        <v>136.60714285714286</v>
      </c>
      <c r="O73" s="389">
        <f>AC16+AC11</f>
        <v>26.785714285714285</v>
      </c>
      <c r="P73" s="389">
        <f>AD16+AD11</f>
        <v>13.392857142857142</v>
      </c>
      <c r="Q73" s="389">
        <f>AH16+AH11</f>
        <v>66</v>
      </c>
      <c r="R73" s="390">
        <f>AI16+AI11</f>
        <v>66</v>
      </c>
      <c r="S73" s="391"/>
      <c r="T73" s="384"/>
      <c r="U73" s="384"/>
      <c r="V73" s="384"/>
      <c r="W73" s="392"/>
      <c r="X73" s="380"/>
      <c r="Y73" s="269"/>
      <c r="Z73" s="269"/>
      <c r="AA73" s="269"/>
      <c r="AB73" s="381"/>
    </row>
    <row r="74" spans="3:28" x14ac:dyDescent="0.25">
      <c r="C74" s="382">
        <v>6000</v>
      </c>
      <c r="D74" s="383"/>
      <c r="E74" s="384"/>
      <c r="F74" s="384"/>
      <c r="G74" s="385"/>
      <c r="H74" s="386"/>
      <c r="I74" s="383"/>
      <c r="J74" s="384"/>
      <c r="K74" s="384"/>
      <c r="L74" s="384"/>
      <c r="M74" s="387"/>
      <c r="N74" s="388">
        <f>AG18+AG19</f>
        <v>42.803571428571431</v>
      </c>
      <c r="O74" s="389">
        <f>AC19</f>
        <v>3.0357142857142856</v>
      </c>
      <c r="P74" s="389">
        <f>AD19</f>
        <v>1.5178571428571428</v>
      </c>
      <c r="Q74" s="389">
        <f>AH18+AH19</f>
        <v>0</v>
      </c>
      <c r="R74" s="390">
        <f>AI18+AI19</f>
        <v>0</v>
      </c>
      <c r="S74" s="391"/>
      <c r="T74" s="384"/>
      <c r="U74" s="384"/>
      <c r="V74" s="384"/>
      <c r="W74" s="392"/>
      <c r="X74" s="380"/>
      <c r="Y74" s="269"/>
      <c r="Z74" s="269"/>
      <c r="AA74" s="269"/>
      <c r="AB74" s="381"/>
    </row>
    <row r="75" spans="3:28" x14ac:dyDescent="0.25">
      <c r="C75" s="382">
        <v>7000</v>
      </c>
      <c r="D75" s="393"/>
      <c r="E75" s="385"/>
      <c r="F75" s="385"/>
      <c r="G75" s="385"/>
      <c r="H75" s="386"/>
      <c r="I75" s="383"/>
      <c r="J75" s="384"/>
      <c r="K75" s="384"/>
      <c r="L75" s="384"/>
      <c r="M75" s="387"/>
      <c r="N75" s="394"/>
      <c r="O75" s="385"/>
      <c r="P75" s="385"/>
      <c r="Q75" s="385"/>
      <c r="R75" s="395"/>
      <c r="S75" s="396">
        <f>AI20</f>
        <v>78</v>
      </c>
      <c r="T75" s="397">
        <f>AC20</f>
        <v>33.214285714285715</v>
      </c>
      <c r="U75" s="397">
        <f>AD20</f>
        <v>16.607142857142858</v>
      </c>
      <c r="V75" s="397">
        <f>AG20</f>
        <v>169.39285714285714</v>
      </c>
      <c r="W75" s="398">
        <f>AH20</f>
        <v>78</v>
      </c>
      <c r="X75" s="380"/>
      <c r="Y75" s="269"/>
      <c r="Z75" s="269"/>
      <c r="AA75" s="269"/>
      <c r="AB75" s="381"/>
    </row>
    <row r="76" spans="3:28" x14ac:dyDescent="0.25">
      <c r="C76" s="399">
        <v>8000</v>
      </c>
      <c r="D76" s="400"/>
      <c r="E76" s="401"/>
      <c r="F76" s="401"/>
      <c r="G76" s="401"/>
      <c r="H76" s="402"/>
      <c r="I76" s="403"/>
      <c r="J76" s="404"/>
      <c r="K76" s="404"/>
      <c r="L76" s="404"/>
      <c r="M76" s="405"/>
      <c r="N76" s="406">
        <f>AH12</f>
        <v>84</v>
      </c>
      <c r="O76" s="407">
        <f>AC12</f>
        <v>32.142857142857146</v>
      </c>
      <c r="P76" s="407">
        <f>AD12</f>
        <v>16.071428571428573</v>
      </c>
      <c r="Q76" s="407">
        <f>AH12</f>
        <v>84</v>
      </c>
      <c r="R76" s="408">
        <f>AI12</f>
        <v>84</v>
      </c>
      <c r="S76" s="409">
        <f>AG15+AG24+AG25</f>
        <v>145.71428571428572</v>
      </c>
      <c r="T76" s="410">
        <f>AC15+AC24+AC25</f>
        <v>28.571428571428573</v>
      </c>
      <c r="U76" s="410">
        <f>AD15+AD24+AD25</f>
        <v>14.285714285714286</v>
      </c>
      <c r="V76" s="410">
        <f>AH15+AH24+AH25</f>
        <v>88</v>
      </c>
      <c r="W76" s="411">
        <f>AI15+AI24+AI25</f>
        <v>88</v>
      </c>
      <c r="X76" s="380"/>
      <c r="Y76" s="269"/>
      <c r="Z76" s="269"/>
      <c r="AA76" s="269"/>
      <c r="AB76" s="381"/>
    </row>
    <row r="77" spans="3:28" x14ac:dyDescent="0.25">
      <c r="C77" s="399">
        <v>9000</v>
      </c>
      <c r="D77" s="400"/>
      <c r="E77" s="404"/>
      <c r="F77" s="404"/>
      <c r="G77" s="404"/>
      <c r="H77" s="402"/>
      <c r="I77" s="412">
        <f>AG13+AG14</f>
        <v>147.53571428571428</v>
      </c>
      <c r="J77" s="413">
        <f>AC13+AC14</f>
        <v>28.928571428571427</v>
      </c>
      <c r="K77" s="413">
        <f>AD13+AD14</f>
        <v>14.464285714285714</v>
      </c>
      <c r="L77" s="413">
        <f>AH13+AH14</f>
        <v>78</v>
      </c>
      <c r="M77" s="414">
        <f>AI13+AI14</f>
        <v>78</v>
      </c>
      <c r="N77" s="415"/>
      <c r="O77" s="407">
        <f>AC18</f>
        <v>5.3571428571428568</v>
      </c>
      <c r="P77" s="407">
        <f>AD18</f>
        <v>2.6785714285714284</v>
      </c>
      <c r="Q77" s="416"/>
      <c r="R77" s="417"/>
      <c r="S77" s="409">
        <f>AG22+AG23</f>
        <v>46.446428571428577</v>
      </c>
      <c r="T77" s="410">
        <f>AC22+AC23</f>
        <v>9.1071428571428577</v>
      </c>
      <c r="U77" s="410">
        <f>AD22+AD23</f>
        <v>4.5535714285714288</v>
      </c>
      <c r="V77" s="418">
        <f>AH22+AH23</f>
        <v>21</v>
      </c>
      <c r="W77" s="419">
        <f>AI22+AI23</f>
        <v>21</v>
      </c>
      <c r="X77" s="380"/>
      <c r="Y77" s="269"/>
      <c r="Z77" s="269"/>
      <c r="AA77" s="269"/>
      <c r="AB77" s="381"/>
    </row>
    <row r="78" spans="3:28" ht="13.8" thickBot="1" x14ac:dyDescent="0.3">
      <c r="C78" s="420" t="s">
        <v>123</v>
      </c>
      <c r="D78" s="421"/>
      <c r="E78" s="422"/>
      <c r="F78" s="422"/>
      <c r="G78" s="422"/>
      <c r="H78" s="423"/>
      <c r="I78" s="424"/>
      <c r="J78" s="425"/>
      <c r="K78" s="425"/>
      <c r="L78" s="425"/>
      <c r="M78" s="426"/>
      <c r="N78" s="270"/>
      <c r="O78" s="270"/>
      <c r="P78" s="270"/>
      <c r="Q78" s="270"/>
      <c r="R78" s="427"/>
      <c r="S78" s="270"/>
      <c r="T78" s="270"/>
      <c r="U78" s="270"/>
      <c r="V78" s="270"/>
      <c r="W78" s="270"/>
      <c r="X78" s="380"/>
      <c r="Y78" s="269"/>
      <c r="Z78" s="269"/>
      <c r="AA78" s="269"/>
      <c r="AB78" s="381"/>
    </row>
    <row r="79" spans="3:28" ht="13.8" thickBot="1" x14ac:dyDescent="0.3">
      <c r="C79" s="428" t="s">
        <v>89</v>
      </c>
      <c r="D79" s="429">
        <f t="shared" ref="D79:M79" si="14">SUM(D70:D78)</f>
        <v>480.85714285714283</v>
      </c>
      <c r="E79" s="429">
        <f t="shared" si="14"/>
        <v>94.285714285714292</v>
      </c>
      <c r="F79" s="429">
        <f t="shared" si="14"/>
        <v>47.142857142857146</v>
      </c>
      <c r="G79" s="429">
        <f t="shared" si="14"/>
        <v>276</v>
      </c>
      <c r="H79" s="429">
        <f t="shared" si="14"/>
        <v>194</v>
      </c>
      <c r="I79" s="429">
        <f t="shared" si="14"/>
        <v>437.14285714285717</v>
      </c>
      <c r="J79" s="429">
        <f t="shared" si="14"/>
        <v>85.714285714285708</v>
      </c>
      <c r="K79" s="429">
        <f t="shared" si="14"/>
        <v>42.857142857142854</v>
      </c>
      <c r="L79" s="429">
        <f t="shared" si="14"/>
        <v>244</v>
      </c>
      <c r="M79" s="429">
        <f t="shared" si="14"/>
        <v>208</v>
      </c>
      <c r="N79" s="429">
        <f t="shared" ref="N79:W79" si="15">SUM(N71:N78)</f>
        <v>263.41071428571428</v>
      </c>
      <c r="O79" s="429">
        <f t="shared" si="15"/>
        <v>67.321428571428569</v>
      </c>
      <c r="P79" s="429">
        <f t="shared" si="15"/>
        <v>33.660714285714285</v>
      </c>
      <c r="Q79" s="429">
        <f t="shared" si="15"/>
        <v>150</v>
      </c>
      <c r="R79" s="429">
        <f t="shared" si="15"/>
        <v>150</v>
      </c>
      <c r="S79" s="429">
        <f t="shared" si="15"/>
        <v>270.16071428571428</v>
      </c>
      <c r="T79" s="429">
        <f t="shared" si="15"/>
        <v>70.892857142857153</v>
      </c>
      <c r="U79" s="429">
        <f t="shared" si="15"/>
        <v>35.446428571428577</v>
      </c>
      <c r="V79" s="429">
        <f t="shared" si="15"/>
        <v>278.39285714285711</v>
      </c>
      <c r="W79" s="430">
        <f t="shared" si="15"/>
        <v>187</v>
      </c>
      <c r="X79" s="380"/>
      <c r="Y79" s="269"/>
      <c r="Z79" s="269"/>
      <c r="AA79" s="269"/>
      <c r="AB79" s="381"/>
    </row>
    <row r="80" spans="3:28" ht="13.8" thickBot="1" x14ac:dyDescent="0.3">
      <c r="X80" s="431">
        <f>AG27</f>
        <v>7.1836734693877551</v>
      </c>
      <c r="Y80" s="432">
        <f>+AC27</f>
        <v>3.2653061224489797</v>
      </c>
      <c r="Z80" s="432">
        <f>+AD27</f>
        <v>0.81632653061224492</v>
      </c>
      <c r="AA80" s="433">
        <f>+AH27</f>
        <v>3</v>
      </c>
      <c r="AB80" s="434">
        <f>+AI27</f>
        <v>2</v>
      </c>
    </row>
    <row r="81" spans="3:28" ht="13.8" thickBot="1" x14ac:dyDescent="0.3">
      <c r="X81" s="435">
        <f>+SUM(X72:X80)</f>
        <v>7.1836734693877551</v>
      </c>
      <c r="Y81" s="436">
        <f>+SUM(Y72:Y80)</f>
        <v>3.2653061224489797</v>
      </c>
      <c r="Z81" s="436">
        <f>+SUM(Z72:Z80)</f>
        <v>0.81632653061224492</v>
      </c>
      <c r="AA81" s="436">
        <f>+SUM(AA72:AA80)</f>
        <v>3</v>
      </c>
      <c r="AB81" s="437">
        <f>+SUM(AB72:AB80)</f>
        <v>2</v>
      </c>
    </row>
    <row r="82" spans="3:28" ht="15.6" x14ac:dyDescent="0.25">
      <c r="C82" s="698" t="s">
        <v>148</v>
      </c>
      <c r="D82" s="698"/>
      <c r="E82" s="698"/>
      <c r="F82" s="698"/>
      <c r="G82" s="698"/>
      <c r="H82" s="698"/>
      <c r="I82" s="698"/>
      <c r="J82" s="698"/>
      <c r="K82" s="698"/>
      <c r="L82" s="698"/>
      <c r="M82" s="698"/>
      <c r="N82" s="698"/>
      <c r="O82" s="698"/>
      <c r="P82" s="698"/>
      <c r="Q82" s="698"/>
      <c r="R82" s="698"/>
      <c r="S82" s="698"/>
      <c r="T82" s="698"/>
      <c r="U82" s="698"/>
      <c r="V82" s="698"/>
      <c r="W82" s="698"/>
    </row>
    <row r="83" spans="3:28" ht="13.8" thickBot="1" x14ac:dyDescent="0.3"/>
    <row r="84" spans="3:28" x14ac:dyDescent="0.25">
      <c r="C84" s="346"/>
      <c r="D84" s="699" t="s">
        <v>149</v>
      </c>
      <c r="E84" s="700"/>
      <c r="F84" s="701"/>
      <c r="G84" s="702" t="s">
        <v>150</v>
      </c>
      <c r="H84" s="703"/>
      <c r="I84" s="704"/>
      <c r="J84" s="705" t="s">
        <v>151</v>
      </c>
      <c r="K84" s="706"/>
      <c r="L84" s="707"/>
      <c r="M84" s="708" t="s">
        <v>152</v>
      </c>
      <c r="N84" s="709"/>
      <c r="O84" s="710"/>
      <c r="P84" s="711" t="s">
        <v>123</v>
      </c>
      <c r="Q84" s="712"/>
      <c r="R84" s="713"/>
      <c r="S84" s="714" t="s">
        <v>153</v>
      </c>
      <c r="T84" s="715"/>
      <c r="U84" s="716"/>
    </row>
    <row r="85" spans="3:28" ht="13.8" thickBot="1" x14ac:dyDescent="0.3">
      <c r="C85" s="438"/>
      <c r="D85" s="347" t="s">
        <v>2</v>
      </c>
      <c r="E85" s="348" t="s">
        <v>0</v>
      </c>
      <c r="F85" s="439" t="s">
        <v>1</v>
      </c>
      <c r="G85" s="347" t="s">
        <v>2</v>
      </c>
      <c r="H85" s="348" t="s">
        <v>0</v>
      </c>
      <c r="I85" s="439" t="s">
        <v>1</v>
      </c>
      <c r="J85" s="347" t="s">
        <v>2</v>
      </c>
      <c r="K85" s="348" t="s">
        <v>0</v>
      </c>
      <c r="L85" s="439" t="s">
        <v>1</v>
      </c>
      <c r="M85" s="347" t="s">
        <v>2</v>
      </c>
      <c r="N85" s="348" t="s">
        <v>0</v>
      </c>
      <c r="O85" s="439" t="s">
        <v>1</v>
      </c>
      <c r="P85" s="347" t="s">
        <v>2</v>
      </c>
      <c r="Q85" s="348" t="s">
        <v>0</v>
      </c>
      <c r="R85" s="349" t="s">
        <v>1</v>
      </c>
      <c r="S85" s="347" t="s">
        <v>2</v>
      </c>
      <c r="T85" s="348" t="s">
        <v>0</v>
      </c>
      <c r="U85" s="349" t="s">
        <v>1</v>
      </c>
    </row>
    <row r="86" spans="3:28" x14ac:dyDescent="0.25">
      <c r="C86" s="440">
        <v>2000</v>
      </c>
      <c r="D86" s="441">
        <f>D71*$J$12+G71*$J$13+H71*$J$14</f>
        <v>5706.75</v>
      </c>
      <c r="E86" s="442">
        <f>E71*$J$12</f>
        <v>922.5</v>
      </c>
      <c r="F86" s="442">
        <f>F71*$J$12</f>
        <v>461.25</v>
      </c>
      <c r="G86" s="441">
        <f>I71*$J$12+L71*$J$13+M71*$J$14</f>
        <v>4922.25</v>
      </c>
      <c r="H86" s="442">
        <f>J71*$J$12</f>
        <v>787.5</v>
      </c>
      <c r="I86" s="442">
        <f>K71*$J$12</f>
        <v>393.75</v>
      </c>
      <c r="J86" s="441"/>
      <c r="K86" s="442"/>
      <c r="L86" s="442"/>
      <c r="M86" s="441"/>
      <c r="N86" s="442"/>
      <c r="O86" s="442"/>
      <c r="P86" s="441"/>
      <c r="Q86" s="442"/>
      <c r="R86" s="443"/>
      <c r="S86" s="441">
        <f t="shared" ref="S86:U93" si="16">D86+G86+J86+M86+P86</f>
        <v>10629</v>
      </c>
      <c r="T86" s="441">
        <f t="shared" si="16"/>
        <v>1710</v>
      </c>
      <c r="U86" s="444">
        <f t="shared" si="16"/>
        <v>855</v>
      </c>
    </row>
    <row r="87" spans="3:28" x14ac:dyDescent="0.25">
      <c r="C87" s="420">
        <v>3000</v>
      </c>
      <c r="D87" s="441">
        <f>D72*$J$12+G72*$J$13+H72*$J$14</f>
        <v>6465.25</v>
      </c>
      <c r="E87" s="442">
        <f>E72*J12</f>
        <v>1057.5</v>
      </c>
      <c r="F87" s="442">
        <f>F72*J12</f>
        <v>528.75</v>
      </c>
      <c r="G87" s="441">
        <f>I72*J12+L72*J13+M72*J14</f>
        <v>2473.5</v>
      </c>
      <c r="H87" s="442">
        <f>J72*J12</f>
        <v>405</v>
      </c>
      <c r="I87" s="442">
        <f>K72*J12</f>
        <v>202.5</v>
      </c>
      <c r="J87" s="441"/>
      <c r="K87" s="442"/>
      <c r="L87" s="442"/>
      <c r="M87" s="441"/>
      <c r="N87" s="442"/>
      <c r="O87" s="442"/>
      <c r="P87" s="441"/>
      <c r="Q87" s="442"/>
      <c r="R87" s="443"/>
      <c r="S87" s="441">
        <f t="shared" si="16"/>
        <v>8938.75</v>
      </c>
      <c r="T87" s="441">
        <f t="shared" si="16"/>
        <v>1462.5</v>
      </c>
      <c r="U87" s="444">
        <f t="shared" si="16"/>
        <v>731.25</v>
      </c>
    </row>
    <row r="88" spans="3:28" x14ac:dyDescent="0.25">
      <c r="C88" s="420">
        <v>5000</v>
      </c>
      <c r="D88" s="445"/>
      <c r="E88" s="446"/>
      <c r="F88" s="446"/>
      <c r="G88" s="445"/>
      <c r="H88" s="446"/>
      <c r="I88" s="446"/>
      <c r="J88" s="445">
        <f>N73*$J$12+O73*$J$13+P73*$J$14</f>
        <v>3042.8571428571431</v>
      </c>
      <c r="K88" s="446">
        <f>O73*$J$12</f>
        <v>562.5</v>
      </c>
      <c r="L88" s="446">
        <f>P73*$J$12</f>
        <v>281.25</v>
      </c>
      <c r="M88" s="445"/>
      <c r="N88" s="446"/>
      <c r="O88" s="446"/>
      <c r="P88" s="445"/>
      <c r="Q88" s="446"/>
      <c r="R88" s="447"/>
      <c r="S88" s="441">
        <f t="shared" si="16"/>
        <v>3042.8571428571431</v>
      </c>
      <c r="T88" s="441">
        <f t="shared" si="16"/>
        <v>562.5</v>
      </c>
      <c r="U88" s="444">
        <f t="shared" si="16"/>
        <v>281.25</v>
      </c>
    </row>
    <row r="89" spans="3:28" x14ac:dyDescent="0.25">
      <c r="C89" s="420">
        <v>6000</v>
      </c>
      <c r="D89" s="445"/>
      <c r="E89" s="446"/>
      <c r="F89" s="446"/>
      <c r="G89" s="445"/>
      <c r="H89" s="446"/>
      <c r="I89" s="446"/>
      <c r="J89" s="445">
        <f>N74*$J$12+Q74*$J$13+R74*$J$14</f>
        <v>898.875</v>
      </c>
      <c r="K89" s="446">
        <f>O74*$J$12</f>
        <v>63.75</v>
      </c>
      <c r="L89" s="446">
        <f>P74*$J$12</f>
        <v>31.875</v>
      </c>
      <c r="M89" s="445"/>
      <c r="N89" s="446"/>
      <c r="O89" s="446"/>
      <c r="P89" s="445"/>
      <c r="Q89" s="446"/>
      <c r="R89" s="447"/>
      <c r="S89" s="441">
        <f t="shared" si="16"/>
        <v>898.875</v>
      </c>
      <c r="T89" s="441">
        <f t="shared" si="16"/>
        <v>63.75</v>
      </c>
      <c r="U89" s="444">
        <f t="shared" si="16"/>
        <v>31.875</v>
      </c>
    </row>
    <row r="90" spans="3:28" ht="12" customHeight="1" x14ac:dyDescent="0.25">
      <c r="C90" s="420">
        <v>7000</v>
      </c>
      <c r="D90" s="445"/>
      <c r="E90" s="446"/>
      <c r="F90" s="446"/>
      <c r="G90" s="445"/>
      <c r="H90" s="446"/>
      <c r="I90" s="446"/>
      <c r="J90" s="445"/>
      <c r="K90" s="446"/>
      <c r="L90" s="446"/>
      <c r="M90" s="445">
        <f>S75*$J$12+V75*$J$13+W75*$J$14</f>
        <v>2705.5714285714284</v>
      </c>
      <c r="N90" s="446">
        <f t="shared" ref="N90:O92" si="17">T75*$J$12</f>
        <v>697.5</v>
      </c>
      <c r="O90" s="446">
        <f t="shared" si="17"/>
        <v>348.75</v>
      </c>
      <c r="P90" s="445"/>
      <c r="Q90" s="446"/>
      <c r="R90" s="447"/>
      <c r="S90" s="441">
        <f t="shared" si="16"/>
        <v>2705.5714285714284</v>
      </c>
      <c r="T90" s="441">
        <f t="shared" si="16"/>
        <v>697.5</v>
      </c>
      <c r="U90" s="444">
        <f t="shared" si="16"/>
        <v>348.75</v>
      </c>
    </row>
    <row r="91" spans="3:28" x14ac:dyDescent="0.25">
      <c r="C91" s="420">
        <v>8000</v>
      </c>
      <c r="D91" s="445"/>
      <c r="E91" s="446"/>
      <c r="F91" s="446"/>
      <c r="G91" s="448"/>
      <c r="H91" s="449"/>
      <c r="I91" s="449"/>
      <c r="J91" s="448">
        <f>N76*$J$12+Q76*$J$13+R76*$J$14</f>
        <v>2520</v>
      </c>
      <c r="K91" s="449">
        <f>O76*$J$12</f>
        <v>675.00000000000011</v>
      </c>
      <c r="L91" s="449">
        <f>P76*$J$12</f>
        <v>337.50000000000006</v>
      </c>
      <c r="M91" s="445">
        <f>S76*$J$12+V76*$J$13+W76*$J$14</f>
        <v>3852</v>
      </c>
      <c r="N91" s="446">
        <f t="shared" si="17"/>
        <v>600</v>
      </c>
      <c r="O91" s="446">
        <f t="shared" si="17"/>
        <v>300</v>
      </c>
      <c r="P91" s="448"/>
      <c r="Q91" s="449"/>
      <c r="R91" s="450"/>
      <c r="S91" s="441">
        <f t="shared" si="16"/>
        <v>6372</v>
      </c>
      <c r="T91" s="441">
        <f t="shared" si="16"/>
        <v>1275</v>
      </c>
      <c r="U91" s="444">
        <f t="shared" si="16"/>
        <v>637.5</v>
      </c>
    </row>
    <row r="92" spans="3:28" x14ac:dyDescent="0.25">
      <c r="C92" s="420">
        <v>9000</v>
      </c>
      <c r="D92" s="445"/>
      <c r="E92" s="446"/>
      <c r="F92" s="446"/>
      <c r="G92" s="441">
        <f>I77*J12+L77*J13+M77*J14</f>
        <v>3800.25</v>
      </c>
      <c r="H92" s="442">
        <f>J77*J12</f>
        <v>607.5</v>
      </c>
      <c r="I92" s="442">
        <f>K77*J12</f>
        <v>303.75</v>
      </c>
      <c r="J92" s="445"/>
      <c r="K92" s="446">
        <f>O77*$J$12</f>
        <v>112.49999999999999</v>
      </c>
      <c r="L92" s="446">
        <f>P77*$J$12</f>
        <v>56.249999999999993</v>
      </c>
      <c r="M92" s="445">
        <f>S77*$J$12+V77*$J$13+W77*$J$14</f>
        <v>1164.375</v>
      </c>
      <c r="N92" s="446">
        <f t="shared" si="17"/>
        <v>191.25</v>
      </c>
      <c r="O92" s="446">
        <f t="shared" si="17"/>
        <v>95.625</v>
      </c>
      <c r="P92" s="441"/>
      <c r="Q92" s="442"/>
      <c r="R92" s="443"/>
      <c r="S92" s="441">
        <f t="shared" si="16"/>
        <v>4964.625</v>
      </c>
      <c r="T92" s="441">
        <f t="shared" si="16"/>
        <v>911.25</v>
      </c>
      <c r="U92" s="444">
        <f t="shared" si="16"/>
        <v>455.625</v>
      </c>
    </row>
    <row r="93" spans="3:28" ht="13.8" thickBot="1" x14ac:dyDescent="0.3">
      <c r="C93" s="420" t="s">
        <v>123</v>
      </c>
      <c r="D93" s="441"/>
      <c r="E93" s="442"/>
      <c r="F93" s="442"/>
      <c r="G93" s="445"/>
      <c r="H93" s="446"/>
      <c r="I93" s="446"/>
      <c r="J93" s="445"/>
      <c r="K93" s="446"/>
      <c r="L93" s="446"/>
      <c r="M93" s="445"/>
      <c r="N93" s="446"/>
      <c r="O93" s="446"/>
      <c r="P93" s="445">
        <f>X80*$J$12+AA80*$J$13+AB80*$J$14</f>
        <v>172.85714285714286</v>
      </c>
      <c r="Q93" s="446">
        <f>Y80*J12</f>
        <v>68.571428571428569</v>
      </c>
      <c r="R93" s="447">
        <f>Z80*J12</f>
        <v>17.142857142857142</v>
      </c>
      <c r="S93" s="441">
        <f t="shared" si="16"/>
        <v>172.85714285714286</v>
      </c>
      <c r="T93" s="441">
        <f t="shared" si="16"/>
        <v>68.571428571428569</v>
      </c>
      <c r="U93" s="444">
        <f t="shared" si="16"/>
        <v>17.142857142857142</v>
      </c>
    </row>
    <row r="94" spans="3:28" ht="13.8" thickBot="1" x14ac:dyDescent="0.3">
      <c r="C94" s="428" t="s">
        <v>89</v>
      </c>
      <c r="D94" s="451">
        <f t="shared" ref="D94:I94" si="18">SUM(D86:D93)</f>
        <v>12172</v>
      </c>
      <c r="E94" s="452">
        <f t="shared" si="18"/>
        <v>1980</v>
      </c>
      <c r="F94" s="453">
        <f t="shared" si="18"/>
        <v>990</v>
      </c>
      <c r="G94" s="451">
        <f t="shared" si="18"/>
        <v>11196</v>
      </c>
      <c r="H94" s="452">
        <f t="shared" si="18"/>
        <v>1800</v>
      </c>
      <c r="I94" s="452">
        <f t="shared" si="18"/>
        <v>900</v>
      </c>
      <c r="J94" s="451">
        <f>SUM(J86:J92)</f>
        <v>6461.7321428571431</v>
      </c>
      <c r="K94" s="452">
        <f>SUM(K86:K92)</f>
        <v>1413.75</v>
      </c>
      <c r="L94" s="452">
        <f>SUM(L86:L92)</f>
        <v>706.875</v>
      </c>
      <c r="M94" s="451">
        <f t="shared" ref="M94:U94" si="19">SUM(M86:M93)</f>
        <v>7721.9464285714284</v>
      </c>
      <c r="N94" s="452">
        <f t="shared" si="19"/>
        <v>1488.75</v>
      </c>
      <c r="O94" s="452">
        <f t="shared" si="19"/>
        <v>744.375</v>
      </c>
      <c r="P94" s="451">
        <f t="shared" si="19"/>
        <v>172.85714285714286</v>
      </c>
      <c r="Q94" s="452">
        <f t="shared" si="19"/>
        <v>68.571428571428569</v>
      </c>
      <c r="R94" s="453">
        <f t="shared" si="19"/>
        <v>17.142857142857142</v>
      </c>
      <c r="S94" s="451">
        <f t="shared" si="19"/>
        <v>37724.535714285717</v>
      </c>
      <c r="T94" s="452">
        <f t="shared" si="19"/>
        <v>6751.0714285714284</v>
      </c>
      <c r="U94" s="453">
        <f t="shared" si="19"/>
        <v>3358.3928571428573</v>
      </c>
    </row>
  </sheetData>
  <mergeCells count="45">
    <mergeCell ref="AC2:AC3"/>
    <mergeCell ref="Z11:Z12"/>
    <mergeCell ref="A26:U26"/>
    <mergeCell ref="AD2:AD3"/>
    <mergeCell ref="A4:J4"/>
    <mergeCell ref="L4:R4"/>
    <mergeCell ref="I7:J7"/>
    <mergeCell ref="X7:X8"/>
    <mergeCell ref="Y7:Y8"/>
    <mergeCell ref="Z7:Z8"/>
    <mergeCell ref="A1:C2"/>
    <mergeCell ref="D1:U1"/>
    <mergeCell ref="X1:AG1"/>
    <mergeCell ref="D2:J2"/>
    <mergeCell ref="X2:X3"/>
    <mergeCell ref="Y2:Y3"/>
    <mergeCell ref="Z2:Z3"/>
    <mergeCell ref="AA2:AA3"/>
    <mergeCell ref="AB2:AB3"/>
    <mergeCell ref="A52:A59"/>
    <mergeCell ref="A9:B9"/>
    <mergeCell ref="X9:X10"/>
    <mergeCell ref="Y9:Y10"/>
    <mergeCell ref="I11:J11"/>
    <mergeCell ref="B28:S28"/>
    <mergeCell ref="X28:AA28"/>
    <mergeCell ref="A30:B30"/>
    <mergeCell ref="A32:A39"/>
    <mergeCell ref="A42:A49"/>
    <mergeCell ref="C62:E63"/>
    <mergeCell ref="F62:R62"/>
    <mergeCell ref="F63:L63"/>
    <mergeCell ref="C66:W66"/>
    <mergeCell ref="D68:H68"/>
    <mergeCell ref="I68:M68"/>
    <mergeCell ref="N68:R68"/>
    <mergeCell ref="S68:W68"/>
    <mergeCell ref="X70:AB70"/>
    <mergeCell ref="C82:W82"/>
    <mergeCell ref="D84:F84"/>
    <mergeCell ref="G84:I84"/>
    <mergeCell ref="J84:L84"/>
    <mergeCell ref="M84:O84"/>
    <mergeCell ref="P84:R84"/>
    <mergeCell ref="S84:U84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PROPUESTA A</vt:lpstr>
      <vt:lpstr>PLANIF_MENSUAL_INVIERNO</vt:lpstr>
      <vt:lpstr>'PROPUESTA A'!Área_de_impresión</vt:lpstr>
    </vt:vector>
  </TitlesOfParts>
  <Company>Metro de Madrid,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METRO DE MADRID, S.A</dc:creator>
  <cp:lastModifiedBy>Villacañas Armenteros, Pablo</cp:lastModifiedBy>
  <cp:lastPrinted>2019-04-17T09:13:43Z</cp:lastPrinted>
  <dcterms:created xsi:type="dcterms:W3CDTF">2012-10-25T06:55:11Z</dcterms:created>
  <dcterms:modified xsi:type="dcterms:W3CDTF">2021-02-10T06:19:35Z</dcterms:modified>
</cp:coreProperties>
</file>