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Tecnicos\INGENIERÍA\L DEPÓSITOS\2019 IMPLANTACIÓN 3 VÍAS SECUND. DEPÓSITO VENTAS\2. OBRA\1. LICITACIÓN\VS1\"/>
    </mc:Choice>
  </mc:AlternateContent>
  <bookViews>
    <workbookView xWindow="0" yWindow="0" windowWidth="11472" windowHeight="10656"/>
  </bookViews>
  <sheets>
    <sheet name="CUADRO DE OFERTA" sheetId="1" r:id="rId1"/>
  </sheets>
  <definedNames>
    <definedName name="_xlnm.Print_Area" localSheetId="0">'CUADRO DE OFERTA'!$A$1:$H$102</definedName>
    <definedName name="_xlnm.Print_Titles" localSheetId="0">'CUADRO DE OFERTA'!$1:$5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H85" i="1" l="1"/>
  <c r="H83" i="1"/>
  <c r="H80" i="1"/>
  <c r="H79" i="1"/>
  <c r="H77" i="1"/>
  <c r="H76" i="1"/>
  <c r="H74" i="1"/>
  <c r="H73" i="1"/>
  <c r="H72" i="1"/>
  <c r="H70" i="1"/>
  <c r="H69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1" i="1"/>
  <c r="H50" i="1"/>
  <c r="H49" i="1"/>
  <c r="H48" i="1"/>
  <c r="H47" i="1"/>
  <c r="H46" i="1"/>
  <c r="H45" i="1"/>
  <c r="H44" i="1"/>
  <c r="H43" i="1"/>
  <c r="H40" i="1"/>
  <c r="H39" i="1"/>
  <c r="H38" i="1"/>
  <c r="H37" i="1"/>
  <c r="H36" i="1"/>
  <c r="H35" i="1"/>
  <c r="H33" i="1"/>
  <c r="H32" i="1"/>
  <c r="H31" i="1"/>
  <c r="H30" i="1"/>
  <c r="H29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0" i="1"/>
  <c r="H9" i="1"/>
  <c r="H8" i="1"/>
  <c r="H84" i="1"/>
  <c r="H82" i="1"/>
  <c r="E85" i="1"/>
  <c r="E84" i="1"/>
  <c r="E83" i="1"/>
  <c r="E82" i="1"/>
  <c r="E80" i="1"/>
  <c r="E79" i="1"/>
  <c r="E77" i="1"/>
  <c r="E76" i="1"/>
  <c r="E74" i="1"/>
  <c r="E73" i="1"/>
  <c r="E72" i="1"/>
  <c r="E70" i="1"/>
  <c r="E69" i="1"/>
  <c r="E67" i="1"/>
  <c r="H67" i="1" s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1" i="1"/>
  <c r="E50" i="1"/>
  <c r="E49" i="1"/>
  <c r="E48" i="1"/>
  <c r="E47" i="1"/>
  <c r="E46" i="1"/>
  <c r="E45" i="1"/>
  <c r="E44" i="1"/>
  <c r="E43" i="1"/>
  <c r="E40" i="1"/>
  <c r="E39" i="1"/>
  <c r="E38" i="1"/>
  <c r="E37" i="1"/>
  <c r="E36" i="1"/>
  <c r="E35" i="1"/>
  <c r="E33" i="1"/>
  <c r="E32" i="1"/>
  <c r="E31" i="1"/>
  <c r="E30" i="1"/>
  <c r="E29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0" i="1"/>
  <c r="E9" i="1"/>
  <c r="E8" i="1"/>
  <c r="G78" i="1" l="1"/>
  <c r="H78" i="1" s="1"/>
  <c r="G81" i="1"/>
  <c r="H81" i="1" s="1"/>
  <c r="G41" i="1"/>
  <c r="H41" i="1" s="1"/>
  <c r="G27" i="1"/>
  <c r="H27" i="1" s="1"/>
  <c r="G6" i="1"/>
  <c r="H6" i="1" s="1"/>
  <c r="F85" i="1" l="1"/>
  <c r="F84" i="1"/>
  <c r="F83" i="1"/>
  <c r="F82" i="1"/>
  <c r="F80" i="1"/>
  <c r="F79" i="1"/>
  <c r="F77" i="1"/>
  <c r="F76" i="1"/>
  <c r="F74" i="1"/>
  <c r="F73" i="1"/>
  <c r="F72" i="1"/>
  <c r="F70" i="1"/>
  <c r="F69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1" i="1"/>
  <c r="F50" i="1"/>
  <c r="F49" i="1"/>
  <c r="F48" i="1"/>
  <c r="F47" i="1"/>
  <c r="F46" i="1"/>
  <c r="F45" i="1"/>
  <c r="F44" i="1"/>
  <c r="F43" i="1"/>
  <c r="F40" i="1"/>
  <c r="F39" i="1"/>
  <c r="F38" i="1"/>
  <c r="F37" i="1"/>
  <c r="F36" i="1"/>
  <c r="F35" i="1"/>
  <c r="F33" i="1"/>
  <c r="F32" i="1"/>
  <c r="F31" i="1"/>
  <c r="F30" i="1"/>
  <c r="F29" i="1"/>
  <c r="E27" i="1" s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0" i="1"/>
  <c r="F9" i="1"/>
  <c r="F8" i="1"/>
  <c r="E41" i="1" l="1"/>
  <c r="E6" i="1"/>
  <c r="F6" i="1" s="1"/>
  <c r="E81" i="1"/>
  <c r="F81" i="1" s="1"/>
  <c r="F86" i="1" s="1"/>
  <c r="H86" i="1" s="1"/>
  <c r="G87" i="1" s="1"/>
  <c r="H87" i="1" s="1"/>
  <c r="E78" i="1"/>
  <c r="F78" i="1" s="1"/>
  <c r="F41" i="1"/>
  <c r="F27" i="1"/>
  <c r="H88" i="1" l="1"/>
  <c r="H89" i="1"/>
  <c r="E87" i="1"/>
  <c r="F87" i="1" s="1"/>
  <c r="F88" i="1" s="1"/>
  <c r="H90" i="1" l="1"/>
  <c r="D3" i="1" s="1"/>
  <c r="F89" i="1"/>
  <c r="F90" i="1" s="1"/>
  <c r="F91" i="1" s="1"/>
  <c r="F92" i="1" s="1"/>
  <c r="H91" i="1" l="1"/>
  <c r="H92" i="1" s="1"/>
</calcChain>
</file>

<file path=xl/comments1.xml><?xml version="1.0" encoding="utf-8"?>
<comments xmlns="http://schemas.openxmlformats.org/spreadsheetml/2006/main">
  <authors>
    <author>Zapata Fernández, Miguel Ángel</author>
    <author>s/a</author>
  </authors>
  <commentList>
    <comment ref="G5" authorId="0" shapeId="0">
      <text>
        <r>
          <rPr>
            <b/>
            <sz val="14"/>
            <color indexed="81"/>
            <rFont val="Tahoma"/>
            <family val="2"/>
          </rPr>
          <t>INTRODUCIR PRECIO UNITARIO POR UND. OBRA</t>
        </r>
      </text>
    </comment>
    <comment ref="G88" authorId="1" shapeId="0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  <comment ref="G89" authorId="1" shapeId="0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  <comment ref="A94" authorId="0" shapeId="0">
      <text>
        <r>
          <rPr>
            <b/>
            <sz val="12"/>
            <color indexed="81"/>
            <rFont val="Calibri"/>
            <family val="2"/>
            <scheme val="minor"/>
          </rPr>
          <t>RELLENE ESTE APARTADO</t>
        </r>
      </text>
    </comment>
    <comment ref="D94" authorId="0" shapeId="0">
      <text>
        <r>
          <rPr>
            <b/>
            <sz val="12"/>
            <color indexed="81"/>
            <rFont val="Calibri"/>
            <family val="2"/>
            <scheme val="minor"/>
          </rPr>
          <t>RELLENE ESTE APARTADO</t>
        </r>
      </text>
    </comment>
    <comment ref="A95" authorId="0" shapeId="0">
      <text>
        <r>
          <rPr>
            <b/>
            <sz val="12"/>
            <color indexed="81"/>
            <rFont val="Calibri"/>
            <family val="2"/>
            <scheme val="minor"/>
          </rPr>
          <t>RELLENE ESTE APARTADO</t>
        </r>
      </text>
    </comment>
    <comment ref="D95" authorId="0" shapeId="0">
      <text>
        <r>
          <rPr>
            <b/>
            <sz val="12"/>
            <color indexed="81"/>
            <rFont val="Calibri"/>
            <family val="2"/>
            <scheme val="minor"/>
          </rPr>
          <t>RELLENE ESTE APARTADO</t>
        </r>
      </text>
    </comment>
    <comment ref="A96" authorId="0" shapeId="0">
      <text>
        <r>
          <rPr>
            <b/>
            <sz val="12"/>
            <color indexed="81"/>
            <rFont val="Calibri"/>
            <family val="2"/>
            <scheme val="minor"/>
          </rPr>
          <t>RELLENE ESTE APARTADO</t>
        </r>
      </text>
    </comment>
    <comment ref="D96" authorId="0" shapeId="0">
      <text>
        <r>
          <rPr>
            <b/>
            <sz val="12"/>
            <color indexed="81"/>
            <rFont val="Calibri"/>
            <family val="2"/>
            <scheme val="minor"/>
          </rPr>
          <t>RELLENE ESTE APARTADO</t>
        </r>
      </text>
    </comment>
  </commentList>
</comments>
</file>

<file path=xl/sharedStrings.xml><?xml version="1.0" encoding="utf-8"?>
<sst xmlns="http://schemas.openxmlformats.org/spreadsheetml/2006/main" count="275" uniqueCount="202">
  <si>
    <t>01</t>
  </si>
  <si>
    <t/>
  </si>
  <si>
    <t>TRABAJOS PREVIOS Y AUXILIARES</t>
  </si>
  <si>
    <t>01.01.</t>
  </si>
  <si>
    <t>TRABAJOS PREVIOS</t>
  </si>
  <si>
    <t>01.01.01.</t>
  </si>
  <si>
    <t>ud</t>
  </si>
  <si>
    <t>TOMA DE DATOS AUXILIAR DE DESVÍO.</t>
  </si>
  <si>
    <t>01.01.02.</t>
  </si>
  <si>
    <t>m</t>
  </si>
  <si>
    <t>TOMA DE DATOS CON CARRO MEDIDOR. DIURNO</t>
  </si>
  <si>
    <t>01.01.03.</t>
  </si>
  <si>
    <t>MANIPULACIÓN DE CALZOS</t>
  </si>
  <si>
    <t>01.02.</t>
  </si>
  <si>
    <t>MODIFICACIÓN DEL SISTEMA DE ELECTRIFICACIÓN DE LA VÍA DE LAVADO</t>
  </si>
  <si>
    <t>01.02.01</t>
  </si>
  <si>
    <t>01.02.02</t>
  </si>
  <si>
    <t>m³</t>
  </si>
  <si>
    <t>01.02.03</t>
  </si>
  <si>
    <t>01.02.04</t>
  </si>
  <si>
    <t>01.02.05</t>
  </si>
  <si>
    <t>01.02.06</t>
  </si>
  <si>
    <t>01.02.07</t>
  </si>
  <si>
    <t>01.02.08</t>
  </si>
  <si>
    <t>01.02.09</t>
  </si>
  <si>
    <t>01.02.10</t>
  </si>
  <si>
    <t>01.02.11</t>
  </si>
  <si>
    <t>01.02.12</t>
  </si>
  <si>
    <t>01.02.13</t>
  </si>
  <si>
    <t>01.02.14</t>
  </si>
  <si>
    <t>01.02.15</t>
  </si>
  <si>
    <t>02</t>
  </si>
  <si>
    <t>DESMONTAJES, DESGUARNECIDOS, DESGRAVADOS Y DEMOLICIONES</t>
  </si>
  <si>
    <t>02.01</t>
  </si>
  <si>
    <t>DESMONTAJE DE APARATOS Y VÍA</t>
  </si>
  <si>
    <t>02.01.01</t>
  </si>
  <si>
    <t>DESMONTAJE DE CARRIL Y JUNTAS DE VÍA DOBLE.</t>
  </si>
  <si>
    <t>02.01.02</t>
  </si>
  <si>
    <t>DESMONTAJE DE SEMICAMBIO.</t>
  </si>
  <si>
    <t>02.01.03</t>
  </si>
  <si>
    <t>DESMONTAJE DE CRUZAMIENTO.</t>
  </si>
  <si>
    <t>02.01.04</t>
  </si>
  <si>
    <t>DESMONTAJE DE TOPERA.</t>
  </si>
  <si>
    <t>02.01.05</t>
  </si>
  <si>
    <t>RETIRADA, CARGA Y TRANSPORTE DE TOPERA.</t>
  </si>
  <si>
    <t>02.02</t>
  </si>
  <si>
    <t>DEMOLICIONES, DESGUARNECIDOS Y DESGRAVADOS</t>
  </si>
  <si>
    <t>02.02.01</t>
  </si>
  <si>
    <t>m3</t>
  </si>
  <si>
    <t>DESGUARNECIDO Y DESGRAVADO DE VÍA SOBRE BALASTO.</t>
  </si>
  <si>
    <t>02.02.02</t>
  </si>
  <si>
    <t>DEMOLICIÓN Y DESGRAVADO LOSAS Y SOLERAS HORMIGÓN</t>
  </si>
  <si>
    <t>02.02.03</t>
  </si>
  <si>
    <t>m2</t>
  </si>
  <si>
    <t>LIMPIEZA, DESBROCE, NIVELACIÓN Y COMPACTACIÓN DE TERRENO</t>
  </si>
  <si>
    <t>02.02.04</t>
  </si>
  <si>
    <t>EXCAVACIÓN VERTICAL POR MEDIOS MECÁNICOS</t>
  </si>
  <si>
    <t>02.02.05</t>
  </si>
  <si>
    <t>u</t>
  </si>
  <si>
    <t>DESMOLICIÓN DE ARQUETAS</t>
  </si>
  <si>
    <t>02.02.06</t>
  </si>
  <si>
    <t>EXCAVACIÓN EN ZANJA, A MANO A CIELO ABIERTO</t>
  </si>
  <si>
    <t>03</t>
  </si>
  <si>
    <t>MONTAJE DE LA VÍA Y FORMACIÓN DE LA PLATAFORMA</t>
  </si>
  <si>
    <t>03.01</t>
  </si>
  <si>
    <t>MONTAJE DE APARATOS Y VÍA</t>
  </si>
  <si>
    <t>03.01.01</t>
  </si>
  <si>
    <t>MONTAJE DE DESVÍO DE AGUJA ARTICULADA COMPLETO. MONTAJE EN TRAVIESA DE HORMIGÓN.</t>
  </si>
  <si>
    <t>03.01.02</t>
  </si>
  <si>
    <t>CARGA, TRANSPORTE Y DESCARGA DE DESVÍO CON TRAVIESA DE HORMIGÓN.</t>
  </si>
  <si>
    <t>03.01.03</t>
  </si>
  <si>
    <t>MONTAJE DE SEMICAMBIO.</t>
  </si>
  <si>
    <t>03.01.04</t>
  </si>
  <si>
    <t>CARGA, TRANSPORTE Y DESCARGA DE SEMICAMBIO.</t>
  </si>
  <si>
    <t>03.01.05</t>
  </si>
  <si>
    <t>MONTAJE DE CRUZAMIENTO.</t>
  </si>
  <si>
    <t>03.01.06</t>
  </si>
  <si>
    <t>CARGA, TRANSPORTE Y DESCARGA DE CRUZAMIENTO.</t>
  </si>
  <si>
    <t>03.01.07</t>
  </si>
  <si>
    <t>SUMINISTRO DE CARRIL 54E1</t>
  </si>
  <si>
    <t>03.01.08</t>
  </si>
  <si>
    <t>MONTAJE Y ENGRAPADO DE CARRIL DE VÍA DOBLE. CON CIERRE</t>
  </si>
  <si>
    <t>03.01.09</t>
  </si>
  <si>
    <t>CARGA, TRANSPORTE Y DESCARGA DE JUNTAS Y CARRIL.</t>
  </si>
  <si>
    <t>03.02</t>
  </si>
  <si>
    <t>FORMACIÓN DE PLATAFORMA DE VÍA</t>
  </si>
  <si>
    <t>03.02.01</t>
  </si>
  <si>
    <t>REFINO Y NIVELACIÓN Y COMPACTACIÓN DE SUPERFICIES</t>
  </si>
  <si>
    <t>03.02.02</t>
  </si>
  <si>
    <t>APORTE DE BALASTO.</t>
  </si>
  <si>
    <t>03.02.03</t>
  </si>
  <si>
    <t>SUMINISTRO DE TRAVIESA MONOBLOQUE DE HORMIGÓN</t>
  </si>
  <si>
    <t>03.02.04</t>
  </si>
  <si>
    <t>MONTAJE DE TRAVIESA DE HORMIGÓN.</t>
  </si>
  <si>
    <t>03.02.05</t>
  </si>
  <si>
    <t>CARGA, TRANSPORTE Y DESCARGA DE TRAVIESAS DE HORMIGÓN.</t>
  </si>
  <si>
    <t>03.02.06</t>
  </si>
  <si>
    <t>BATEO MANUAL Y PERFILADO DE VÍA.</t>
  </si>
  <si>
    <t>03.02.07</t>
  </si>
  <si>
    <t>BATEO MANUAL Y PERFILADO DE APARATO DE VÍA.</t>
  </si>
  <si>
    <t>03.02.08</t>
  </si>
  <si>
    <t>HORMIGÓN HA-25/20/B IIA Ó HM-25/20/B/IIA, DE CENTRAL, JORNADA 2:30 - 5:00 A.M.</t>
  </si>
  <si>
    <t>03.02.09</t>
  </si>
  <si>
    <t>kg</t>
  </si>
  <si>
    <t>ACERO CORRUGADO B 500 SD</t>
  </si>
  <si>
    <t>03.02.10</t>
  </si>
  <si>
    <t>SUMINISTRO Y MONTAJE DE ESTRUCTURA METÁLICA PARA RETENCIÓN DE VEHÍCULOS (TOPERA).</t>
  </si>
  <si>
    <t>03.02.11</t>
  </si>
  <si>
    <t>SUMINISTRO Y MONTAJE DE APARATO LOCAL DE MANIOBRAS TIPO MARMITA</t>
  </si>
  <si>
    <t>03.02.12</t>
  </si>
  <si>
    <t>COLOCACIÓN DE PIQUETE DE ENTREVÍA PARA DELIMITACIÓN DE GÁLIBOS</t>
  </si>
  <si>
    <t>03.02.13</t>
  </si>
  <si>
    <t>MARCAJE DE FRANJAS O ÁREAS CON PINTURA PLÁSTICA.</t>
  </si>
  <si>
    <t>03.02.14</t>
  </si>
  <si>
    <t>EJECUCIÓN DEL SONDEO Y SU REGISTRO LITOLÓGICO</t>
  </si>
  <si>
    <t>PA 1</t>
  </si>
  <si>
    <t>PA</t>
  </si>
  <si>
    <t>PARTIDA ALZADA INSTALACIONES O ELEMENTOS DE OBRA CIVIL. A JUSTIFICAR</t>
  </si>
  <si>
    <t>03.03</t>
  </si>
  <si>
    <t>SOLDADURAS</t>
  </si>
  <si>
    <t>03.03.01.</t>
  </si>
  <si>
    <t>EJECUCIÓN DE SOLDADURA ALUMINOTÉRMICA EN CARRIL 54E1 O 60E1.</t>
  </si>
  <si>
    <t>03.03.02.</t>
  </si>
  <si>
    <t>EJECUCIÓN DE SOLDADURA ALUMINOTÉRMICA EN CARRIL CON CC O INTERNA DE APARATOS DE VÍA.</t>
  </si>
  <si>
    <t>03.04</t>
  </si>
  <si>
    <t>SANEAMIENTO Y DRENAJE</t>
  </si>
  <si>
    <t>03.04.01.</t>
  </si>
  <si>
    <t>CANALETA HGÓN. POLÍMERO L=1M D=200X150 C/REJILLA F.DÚCTIL</t>
  </si>
  <si>
    <t>03.04.02.</t>
  </si>
  <si>
    <t>EJECUCIÓN ARQUETA DE PASO DE 80X80X80 CM, CON PICADO DE PLATAFORMA.</t>
  </si>
  <si>
    <t>03.04.03</t>
  </si>
  <si>
    <t>DRENAJE SUBTERRÁNEO.</t>
  </si>
  <si>
    <t>03.05</t>
  </si>
  <si>
    <t>ALINEACIÓN Y NIVELACIÓN</t>
  </si>
  <si>
    <t>03.05.01.</t>
  </si>
  <si>
    <t>ALINEACIÓN Y NIVELACIÓN CON CARRO DE VÍA SENCILLA.</t>
  </si>
  <si>
    <t>03.05.02.</t>
  </si>
  <si>
    <t>ALINEACIÓN Y NIVELACIÓN AUXILIAR DE DESVÍO.</t>
  </si>
  <si>
    <t>04</t>
  </si>
  <si>
    <t>LIMPIEZA Y DESATRANCOS</t>
  </si>
  <si>
    <t>04.01.</t>
  </si>
  <si>
    <t>DESATRANCO/LIMPIEZA DE DRENAJE SUBTERRÁNEO.</t>
  </si>
  <si>
    <t>04.02.</t>
  </si>
  <si>
    <t>m²</t>
  </si>
  <si>
    <t>LIMPIEZA FINAL DE LA ZONA DE OBRAS.</t>
  </si>
  <si>
    <t>05</t>
  </si>
  <si>
    <t>GESTION DE MEDIO AMBIENTE</t>
  </si>
  <si>
    <t>05.01</t>
  </si>
  <si>
    <t>CONTENEDOR DE 6 M3 Y TRANSPORTE A VERTEDERO</t>
  </si>
  <si>
    <t>05.02</t>
  </si>
  <si>
    <t>t</t>
  </si>
  <si>
    <t>COSTE DE GESTIÓN DE ESCOMBROS DE CONSTRUCCIÓN</t>
  </si>
  <si>
    <t>05.03</t>
  </si>
  <si>
    <t>CARGA Y TRANSPORTE DE CHATARRA FÉRRICA A GESTOR DE RESIDUOS</t>
  </si>
  <si>
    <t>05.04</t>
  </si>
  <si>
    <t>COSTE DE GESTIÓN DE CHATARRA FÉRRICA</t>
  </si>
  <si>
    <t>06</t>
  </si>
  <si>
    <t>SEGURIDAD Y SALUD</t>
  </si>
  <si>
    <t>DEMOLICIÓN DE POSTE, INCLUIDO MACIZO DE HORMIGÓN Y ANCLAJES.</t>
  </si>
  <si>
    <t>EXCAVACIÓN PARA MACIZOS DE POSTES DE ELECTRIFICACIÓN.</t>
  </si>
  <si>
    <t>MACIZO DE HORMIGON TIPO "D" PARA POSTES DE ELECTRIFICACION</t>
  </si>
  <si>
    <t>POSTE DE ACERO EMPRESILLADO TIPO RENFE Z-1 TOTALMENTE INSTALADO</t>
  </si>
  <si>
    <t>TIRANTE DE ANCLAJE CN2</t>
  </si>
  <si>
    <t>SUMINISTRO Y MONTAJE DE SEMIPÓRTICO B7.</t>
  </si>
  <si>
    <t>SUMINISTRO Y MONTAJE DE EQUIPO DE MENSULA RECTA DE SUSPENSIÓN TRANVIARIA</t>
  </si>
  <si>
    <t>RIPADO Y MONTAJE DE CATENARIA EN NUEVOS APOYOS</t>
  </si>
  <si>
    <t>CAMBIO DE UBICACIÓN DE SECCIONADOR DE CATENARIA MOTORIZADO SOBRE POSTE DE CATENARIA</t>
  </si>
  <si>
    <t>ANCLAJE DE CABLE DE TIERRA ALUMINIO-ACERO 94-AL1/22-ST1A EN POSTE</t>
  </si>
  <si>
    <t>SUMINISTRO Y TENDIDO DE CABLE DE TIERRA ALUMINIO-ACERO 94-AL1/22-ST1A.</t>
  </si>
  <si>
    <t>TOMA DE TIERRA COMPLETA PARA SISTEMA DE ELECTRIFICACIÓN.</t>
  </si>
  <si>
    <t>REVISIÓN CON DRESINA DE METRO DE MADRID Y CONDUCTOR AUTORIZADO.</t>
  </si>
  <si>
    <t>PRUEBAS FINALES DE LAS DIFERENTES INSTALACIONES, TANTO ELÉCTRICAS COMO MECÁNICAS.</t>
  </si>
  <si>
    <t>CAMBIO DE UBICACIÓN BÁCULOS DE ALUMBRADO SOBRE POSTE DE CATENARIA</t>
  </si>
  <si>
    <t>CONTRATISTA</t>
  </si>
  <si>
    <t>CÓDIGO</t>
  </si>
  <si>
    <t>UD</t>
  </si>
  <si>
    <t>RESUMEN</t>
  </si>
  <si>
    <t>CANT</t>
  </si>
  <si>
    <t>PREC</t>
  </si>
  <si>
    <t>IMP</t>
  </si>
  <si>
    <t>TOTAL PRESUPUESTO DE EJECUCIÓN MATERIAL</t>
  </si>
  <si>
    <t xml:space="preserve"> </t>
  </si>
  <si>
    <t xml:space="preserve"> % GASTOS GENERALES</t>
  </si>
  <si>
    <t xml:space="preserve"> % BENEFICIOS INDUSTRIALES</t>
  </si>
  <si>
    <t>NOMBRE EMPRESA /
RAZÓN SOCIAL</t>
  </si>
  <si>
    <t>FECHA</t>
  </si>
  <si>
    <t>DOMICILIO FISCAL</t>
  </si>
  <si>
    <t>SELLO</t>
  </si>
  <si>
    <t>CIF</t>
  </si>
  <si>
    <t>FIRMA</t>
  </si>
  <si>
    <t>NOTAS</t>
  </si>
  <si>
    <r>
      <rPr>
        <b/>
        <i/>
        <sz val="12"/>
        <color rgb="FFFF0000"/>
        <rFont val="Calibri"/>
        <family val="2"/>
        <scheme val="minor"/>
      </rPr>
      <t xml:space="preserve">** </t>
    </r>
    <r>
      <rPr>
        <b/>
        <i/>
        <sz val="12"/>
        <color theme="1"/>
        <rFont val="Calibri"/>
        <family val="2"/>
        <scheme val="minor"/>
      </rPr>
      <t>El precio ofertado en cada una de las unidades no puede superar el precio unitario de licitación, a excepción del importe correspondiente al capítulo de Seguridad y Salud que podrá modificarse en los términos establecidos en el R.D. 1627/97.  </t>
    </r>
  </si>
  <si>
    <r>
      <rPr>
        <b/>
        <i/>
        <sz val="12"/>
        <color rgb="FFFF0000"/>
        <rFont val="Calibri"/>
        <family val="2"/>
        <scheme val="minor"/>
      </rPr>
      <t>****</t>
    </r>
    <r>
      <rPr>
        <b/>
        <i/>
        <sz val="12"/>
        <color theme="1"/>
        <rFont val="Calibri"/>
        <family val="2"/>
        <scheme val="minor"/>
      </rPr>
      <t>El importe de la celda “PRESUPUESTO MÁXIMO DE LICITACIÓN” debe incluir el importe correspondiente a las celdas “Beneficio industrial” y “Gastos Generales”, no siendo válidas las ofertas que no tengan todas las celdas mencionadas anteriormente debidamente cumplimentadas.</t>
    </r>
  </si>
  <si>
    <t>BASE IMPONIBLE</t>
  </si>
  <si>
    <t>IMPORTE DE LA OFERTA</t>
  </si>
  <si>
    <t>IMPORTE OFERTA SIN I.V.A.</t>
  </si>
  <si>
    <t xml:space="preserve"> IMPORTE DEL I.V.A</t>
  </si>
  <si>
    <t>IMPORTE OFERTA CON I.V.A.</t>
  </si>
  <si>
    <t>IMPLANTACIÓN DE TRES VÍAS SECUNDARIAS EN EL DEPÓSITO DE VENTAS PARA VEHÍCULOS AUXILIARES</t>
  </si>
  <si>
    <r>
      <rPr>
        <b/>
        <i/>
        <sz val="12"/>
        <color rgb="FFFF0000"/>
        <rFont val="Calibri"/>
        <family val="2"/>
        <scheme val="minor"/>
      </rPr>
      <t xml:space="preserve">* </t>
    </r>
    <r>
      <rPr>
        <b/>
        <i/>
        <sz val="12"/>
        <color theme="1"/>
        <rFont val="Calibri"/>
        <family val="2"/>
        <scheme val="minor"/>
      </rPr>
      <t>El importe de las partidas alzadas no podrá verse modificado en la oferta presentada respecto al importe de la base imponible</t>
    </r>
  </si>
  <si>
    <r>
      <rPr>
        <b/>
        <i/>
        <sz val="12"/>
        <color rgb="FFFF0000"/>
        <rFont val="Calibri"/>
        <family val="2"/>
        <scheme val="minor"/>
      </rPr>
      <t>***</t>
    </r>
    <r>
      <rPr>
        <b/>
        <i/>
        <sz val="12"/>
        <color theme="1"/>
        <rFont val="Calibri"/>
        <family val="2"/>
        <scheme val="minor"/>
      </rPr>
      <t>El sumatorio del total correspondiente a la celda importe de la oferta sin I.V.A. no puede superar el valor del presupuesto base de licitación.</t>
    </r>
  </si>
  <si>
    <r>
      <rPr>
        <b/>
        <i/>
        <sz val="12"/>
        <color rgb="FFFF0000"/>
        <rFont val="Calibri"/>
        <family val="2"/>
        <scheme val="minor"/>
      </rPr>
      <t>*****</t>
    </r>
    <r>
      <rPr>
        <b/>
        <i/>
        <sz val="12"/>
        <color theme="1"/>
        <rFont val="Calibri"/>
        <family val="2"/>
        <scheme val="minor"/>
      </rPr>
      <t>El importe de la unidad COSTE DE GESTIIÓN DE CHATARRA FÉRRICA, no podrá ser superior al del precio unitario de licitación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</si>
</sst>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[$-F800]dddd\,\ mmmm\ dd\,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indexed="81"/>
      <name val="Tahoma"/>
      <family val="2"/>
    </font>
    <font>
      <b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5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indexed="81"/>
      <name val="Tahoma"/>
      <family val="2"/>
    </font>
    <font>
      <b/>
      <sz val="12"/>
      <color indexed="8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3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5"/>
      <name val="Calibri"/>
      <family val="2"/>
      <scheme val="minor"/>
    </font>
    <font>
      <sz val="12"/>
      <name val="Calibri"/>
      <family val="2"/>
      <scheme val="minor"/>
    </font>
    <font>
      <b/>
      <sz val="20"/>
      <color theme="8" tint="0.79998168889431442"/>
      <name val="Calibri Light"/>
      <family val="2"/>
      <scheme val="maj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lightGray">
        <fgColor indexed="26"/>
        <bgColor theme="0" tint="-0.14999847407452621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49" fontId="9" fillId="0" borderId="1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vertical="center" wrapText="1"/>
    </xf>
    <xf numFmtId="4" fontId="0" fillId="0" borderId="11" xfId="0" applyNumberFormat="1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horizontal="center" vertical="center"/>
    </xf>
    <xf numFmtId="164" fontId="0" fillId="0" borderId="11" xfId="0" applyNumberFormat="1" applyFont="1" applyBorder="1" applyAlignment="1" applyProtection="1">
      <alignment horizontal="center" vertical="center"/>
    </xf>
    <xf numFmtId="164" fontId="0" fillId="0" borderId="0" xfId="0" applyNumberFormat="1" applyFon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49" fontId="2" fillId="3" borderId="11" xfId="0" applyNumberFormat="1" applyFont="1" applyFill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center" vertical="center"/>
    </xf>
    <xf numFmtId="49" fontId="2" fillId="3" borderId="12" xfId="0" applyNumberFormat="1" applyFont="1" applyFill="1" applyBorder="1" applyAlignment="1" applyProtection="1">
      <alignment vertical="center" wrapText="1"/>
    </xf>
    <xf numFmtId="4" fontId="2" fillId="3" borderId="0" xfId="0" applyNumberFormat="1" applyFont="1" applyFill="1" applyBorder="1" applyAlignment="1" applyProtection="1">
      <alignment horizontal="center" vertical="center"/>
    </xf>
    <xf numFmtId="4" fontId="2" fillId="3" borderId="11" xfId="0" applyNumberFormat="1" applyFont="1" applyFill="1" applyBorder="1" applyAlignment="1" applyProtection="1">
      <alignment horizontal="center" vertical="center"/>
    </xf>
    <xf numFmtId="4" fontId="9" fillId="3" borderId="11" xfId="0" applyNumberFormat="1" applyFont="1" applyFill="1" applyBorder="1" applyAlignment="1" applyProtection="1">
      <alignment horizontal="center" vertical="center"/>
    </xf>
    <xf numFmtId="4" fontId="9" fillId="3" borderId="12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vertical="center" wrapText="1"/>
    </xf>
    <xf numFmtId="0" fontId="6" fillId="0" borderId="9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49" fontId="8" fillId="6" borderId="3" xfId="0" applyNumberFormat="1" applyFont="1" applyFill="1" applyBorder="1" applyAlignment="1" applyProtection="1">
      <alignment horizontal="center" vertical="center"/>
    </xf>
    <xf numFmtId="49" fontId="8" fillId="6" borderId="4" xfId="0" applyNumberFormat="1" applyFont="1" applyFill="1" applyBorder="1" applyAlignment="1" applyProtection="1">
      <alignment horizontal="center" vertical="center"/>
    </xf>
    <xf numFmtId="49" fontId="8" fillId="6" borderId="5" xfId="0" applyNumberFormat="1" applyFont="1" applyFill="1" applyBorder="1" applyAlignment="1" applyProtection="1">
      <alignment vertical="center" wrapText="1"/>
    </xf>
    <xf numFmtId="4" fontId="8" fillId="6" borderId="3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12" fillId="2" borderId="5" xfId="0" applyFont="1" applyFill="1" applyBorder="1" applyAlignment="1" applyProtection="1">
      <alignment vertical="center" wrapText="1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2" xfId="0" applyFont="1" applyFill="1" applyBorder="1" applyAlignment="1" applyProtection="1">
      <alignment horizontal="center" vertical="center"/>
    </xf>
    <xf numFmtId="0" fontId="23" fillId="4" borderId="13" xfId="0" applyFont="1" applyFill="1" applyBorder="1" applyAlignment="1" applyProtection="1">
      <alignment horizontal="center" vertical="center"/>
    </xf>
    <xf numFmtId="0" fontId="23" fillId="4" borderId="1" xfId="0" applyFont="1" applyFill="1" applyBorder="1" applyAlignment="1" applyProtection="1">
      <alignment horizontal="center" vertical="center"/>
    </xf>
    <xf numFmtId="4" fontId="16" fillId="4" borderId="8" xfId="0" applyNumberFormat="1" applyFont="1" applyFill="1" applyBorder="1" applyAlignment="1" applyProtection="1">
      <alignment horizontal="center" vertical="center"/>
    </xf>
    <xf numFmtId="10" fontId="16" fillId="4" borderId="6" xfId="0" applyNumberFormat="1" applyFont="1" applyFill="1" applyBorder="1" applyAlignment="1" applyProtection="1">
      <alignment horizontal="center" vertical="center" wrapText="1"/>
    </xf>
    <xf numFmtId="4" fontId="16" fillId="4" borderId="14" xfId="0" applyNumberFormat="1" applyFont="1" applyFill="1" applyBorder="1" applyAlignment="1" applyProtection="1">
      <alignment horizontal="center" vertical="center"/>
    </xf>
    <xf numFmtId="10" fontId="16" fillId="4" borderId="13" xfId="1" applyNumberFormat="1" applyFont="1" applyFill="1" applyBorder="1" applyAlignment="1" applyProtection="1">
      <alignment horizontal="center" vertical="center"/>
    </xf>
    <xf numFmtId="164" fontId="8" fillId="6" borderId="3" xfId="0" applyNumberFormat="1" applyFont="1" applyFill="1" applyBorder="1" applyAlignment="1" applyProtection="1">
      <alignment horizontal="center" vertical="center" wrapText="1"/>
    </xf>
    <xf numFmtId="164" fontId="8" fillId="6" borderId="4" xfId="0" applyNumberFormat="1" applyFont="1" applyFill="1" applyBorder="1" applyAlignment="1" applyProtection="1">
      <alignment horizontal="center" vertical="center" wrapText="1"/>
    </xf>
    <xf numFmtId="164" fontId="8" fillId="6" borderId="5" xfId="0" applyNumberFormat="1" applyFont="1" applyFill="1" applyBorder="1" applyAlignment="1" applyProtection="1">
      <alignment horizontal="center" vertical="center" wrapText="1"/>
    </xf>
    <xf numFmtId="164" fontId="16" fillId="4" borderId="12" xfId="0" applyNumberFormat="1" applyFont="1" applyFill="1" applyBorder="1" applyAlignment="1" applyProtection="1">
      <alignment horizontal="center" vertical="center"/>
    </xf>
    <xf numFmtId="164" fontId="16" fillId="4" borderId="10" xfId="0" applyNumberFormat="1" applyFont="1" applyFill="1" applyBorder="1" applyAlignment="1" applyProtection="1">
      <alignment horizontal="center" vertical="center"/>
    </xf>
    <xf numFmtId="164" fontId="16" fillId="4" borderId="7" xfId="0" applyNumberFormat="1" applyFont="1" applyFill="1" applyBorder="1" applyAlignment="1" applyProtection="1">
      <alignment horizontal="center" vertical="center"/>
    </xf>
    <xf numFmtId="4" fontId="5" fillId="2" borderId="9" xfId="0" applyNumberFormat="1" applyFont="1" applyFill="1" applyBorder="1" applyAlignment="1" applyProtection="1">
      <alignment horizontal="center" vertical="center"/>
    </xf>
    <xf numFmtId="0" fontId="25" fillId="2" borderId="2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wrapText="1"/>
    </xf>
    <xf numFmtId="164" fontId="5" fillId="2" borderId="3" xfId="0" applyNumberFormat="1" applyFont="1" applyFill="1" applyBorder="1" applyAlignment="1" applyProtection="1">
      <alignment horizontal="center" vertical="center"/>
    </xf>
    <xf numFmtId="164" fontId="5" fillId="2" borderId="5" xfId="0" applyNumberFormat="1" applyFont="1" applyFill="1" applyBorder="1" applyAlignment="1" applyProtection="1">
      <alignment horizontal="center" vertical="center"/>
    </xf>
    <xf numFmtId="9" fontId="24" fillId="4" borderId="7" xfId="0" applyNumberFormat="1" applyFont="1" applyFill="1" applyBorder="1" applyAlignment="1" applyProtection="1">
      <alignment horizontal="left" vertical="center" wrapText="1" indent="2"/>
    </xf>
    <xf numFmtId="9" fontId="24" fillId="4" borderId="10" xfId="0" applyNumberFormat="1" applyFont="1" applyFill="1" applyBorder="1" applyAlignment="1" applyProtection="1">
      <alignment horizontal="left" vertical="center" wrapText="1" indent="2"/>
    </xf>
    <xf numFmtId="0" fontId="25" fillId="2" borderId="6" xfId="0" applyFont="1" applyFill="1" applyBorder="1" applyAlignment="1" applyProtection="1">
      <alignment horizontal="center" vertical="center"/>
    </xf>
    <xf numFmtId="0" fontId="26" fillId="2" borderId="2" xfId="0" applyFont="1" applyFill="1" applyBorder="1" applyAlignment="1" applyProtection="1">
      <alignment vertical="center"/>
    </xf>
    <xf numFmtId="4" fontId="26" fillId="2" borderId="2" xfId="0" applyNumberFormat="1" applyFont="1" applyFill="1" applyBorder="1" applyAlignment="1" applyProtection="1">
      <alignment horizontal="center" vertical="center"/>
    </xf>
    <xf numFmtId="0" fontId="26" fillId="2" borderId="2" xfId="0" applyFont="1" applyFill="1" applyBorder="1" applyAlignment="1" applyProtection="1">
      <alignment horizontal="center" vertical="center"/>
    </xf>
    <xf numFmtId="4" fontId="26" fillId="2" borderId="6" xfId="0" applyNumberFormat="1" applyFont="1" applyFill="1" applyBorder="1" applyAlignment="1" applyProtection="1">
      <alignment horizontal="center"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2" xfId="0" applyFont="1" applyFill="1" applyBorder="1" applyAlignment="1" applyProtection="1">
      <alignment horizontal="center" vertical="center"/>
    </xf>
    <xf numFmtId="4" fontId="26" fillId="4" borderId="2" xfId="0" applyNumberFormat="1" applyFont="1" applyFill="1" applyBorder="1" applyAlignment="1" applyProtection="1">
      <alignment horizontal="center" vertical="center"/>
    </xf>
    <xf numFmtId="0" fontId="26" fillId="4" borderId="2" xfId="0" applyFont="1" applyFill="1" applyBorder="1" applyAlignment="1" applyProtection="1">
      <alignment horizontal="center" vertical="center"/>
    </xf>
    <xf numFmtId="164" fontId="26" fillId="4" borderId="7" xfId="0" applyNumberFormat="1" applyFont="1" applyFill="1" applyBorder="1" applyAlignment="1" applyProtection="1">
      <alignment horizontal="center" vertical="center"/>
    </xf>
    <xf numFmtId="0" fontId="25" fillId="4" borderId="13" xfId="0" applyFont="1" applyFill="1" applyBorder="1" applyAlignment="1" applyProtection="1">
      <alignment horizontal="center" vertical="center"/>
    </xf>
    <xf numFmtId="0" fontId="25" fillId="4" borderId="1" xfId="0" applyFont="1" applyFill="1" applyBorder="1" applyAlignment="1" applyProtection="1">
      <alignment horizontal="center" vertical="center"/>
    </xf>
    <xf numFmtId="4" fontId="26" fillId="4" borderId="1" xfId="0" applyNumberFormat="1" applyFont="1" applyFill="1" applyBorder="1" applyAlignment="1" applyProtection="1">
      <alignment horizontal="center" vertical="center"/>
    </xf>
    <xf numFmtId="0" fontId="26" fillId="4" borderId="1" xfId="0" applyFont="1" applyFill="1" applyBorder="1" applyAlignment="1" applyProtection="1">
      <alignment horizontal="center" vertical="center"/>
    </xf>
    <xf numFmtId="164" fontId="26" fillId="4" borderId="10" xfId="0" applyNumberFormat="1" applyFont="1" applyFill="1" applyBorder="1" applyAlignment="1" applyProtection="1">
      <alignment horizontal="center" vertical="center"/>
    </xf>
    <xf numFmtId="4" fontId="26" fillId="4" borderId="6" xfId="0" applyNumberFormat="1" applyFont="1" applyFill="1" applyBorder="1" applyAlignment="1" applyProtection="1">
      <alignment horizontal="center" vertical="center"/>
    </xf>
    <xf numFmtId="4" fontId="26" fillId="4" borderId="13" xfId="0" applyNumberFormat="1" applyFont="1" applyFill="1" applyBorder="1" applyAlignment="1" applyProtection="1">
      <alignment horizontal="center" vertical="center"/>
    </xf>
    <xf numFmtId="0" fontId="26" fillId="4" borderId="2" xfId="0" applyFont="1" applyFill="1" applyBorder="1" applyAlignment="1" applyProtection="1">
      <alignment horizontal="left" vertical="center" indent="2"/>
    </xf>
    <xf numFmtId="0" fontId="26" fillId="4" borderId="1" xfId="0" applyFont="1" applyFill="1" applyBorder="1" applyAlignment="1" applyProtection="1">
      <alignment horizontal="left" vertical="center" indent="2"/>
    </xf>
    <xf numFmtId="0" fontId="13" fillId="3" borderId="9" xfId="0" applyFont="1" applyFill="1" applyBorder="1" applyAlignment="1" applyProtection="1">
      <alignment horizontal="center" vertical="center" wrapText="1"/>
    </xf>
    <xf numFmtId="49" fontId="2" fillId="0" borderId="0" xfId="0" applyNumberFormat="1" applyFont="1" applyProtection="1"/>
    <xf numFmtId="0" fontId="10" fillId="0" borderId="0" xfId="0" applyFont="1" applyProtection="1"/>
    <xf numFmtId="49" fontId="27" fillId="2" borderId="0" xfId="0" applyNumberFormat="1" applyFont="1" applyFill="1" applyBorder="1" applyAlignment="1" applyProtection="1">
      <alignment horizontal="left" vertical="center" indent="1"/>
    </xf>
    <xf numFmtId="10" fontId="22" fillId="5" borderId="6" xfId="1" applyNumberFormat="1" applyFont="1" applyFill="1" applyBorder="1" applyAlignment="1" applyProtection="1">
      <alignment horizontal="center" vertical="center"/>
      <protection locked="0"/>
    </xf>
    <xf numFmtId="10" fontId="22" fillId="5" borderId="13" xfId="1" applyNumberFormat="1" applyFont="1" applyFill="1" applyBorder="1" applyAlignment="1" applyProtection="1">
      <alignment horizontal="center" vertical="center"/>
      <protection locked="0"/>
    </xf>
    <xf numFmtId="164" fontId="13" fillId="2" borderId="11" xfId="0" applyNumberFormat="1" applyFont="1" applyFill="1" applyBorder="1" applyAlignment="1" applyProtection="1">
      <alignment horizontal="center" vertical="center"/>
      <protection locked="0"/>
    </xf>
    <xf numFmtId="164" fontId="29" fillId="4" borderId="11" xfId="0" applyNumberFormat="1" applyFont="1" applyFill="1" applyBorder="1" applyAlignment="1" applyProtection="1">
      <alignment horizontal="center" vertical="center"/>
    </xf>
    <xf numFmtId="164" fontId="31" fillId="0" borderId="12" xfId="0" applyNumberFormat="1" applyFont="1" applyBorder="1" applyAlignment="1" applyProtection="1">
      <alignment horizontal="center" vertical="center"/>
    </xf>
    <xf numFmtId="4" fontId="31" fillId="3" borderId="11" xfId="0" applyNumberFormat="1" applyFont="1" applyFill="1" applyBorder="1" applyAlignment="1" applyProtection="1">
      <alignment horizontal="center" vertical="center"/>
    </xf>
    <xf numFmtId="4" fontId="31" fillId="3" borderId="12" xfId="0" applyNumberFormat="1" applyFont="1" applyFill="1" applyBorder="1" applyAlignment="1" applyProtection="1">
      <alignment horizontal="center" vertical="center"/>
    </xf>
    <xf numFmtId="4" fontId="29" fillId="3" borderId="11" xfId="0" applyNumberFormat="1" applyFont="1" applyFill="1" applyBorder="1" applyAlignment="1" applyProtection="1">
      <alignment horizontal="center" vertical="center"/>
    </xf>
    <xf numFmtId="164" fontId="17" fillId="3" borderId="7" xfId="0" applyNumberFormat="1" applyFont="1" applyFill="1" applyBorder="1" applyAlignment="1" applyProtection="1">
      <alignment horizontal="center" vertical="center"/>
    </xf>
    <xf numFmtId="4" fontId="14" fillId="7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Border="1" applyAlignment="1" applyProtection="1">
      <alignment horizontal="left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16" xfId="0" applyFont="1" applyFill="1" applyBorder="1" applyAlignment="1" applyProtection="1">
      <alignment horizontal="center" vertical="center" wrapText="1"/>
    </xf>
    <xf numFmtId="4" fontId="15" fillId="7" borderId="3" xfId="0" applyNumberFormat="1" applyFont="1" applyFill="1" applyBorder="1" applyAlignment="1" applyProtection="1">
      <alignment horizontal="center" vertical="center" wrapText="1"/>
      <protection locked="0"/>
    </xf>
    <xf numFmtId="4" fontId="15" fillId="7" borderId="4" xfId="0" applyNumberFormat="1" applyFont="1" applyFill="1" applyBorder="1" applyAlignment="1" applyProtection="1">
      <alignment horizontal="center" vertical="center" wrapText="1"/>
      <protection locked="0"/>
    </xf>
    <xf numFmtId="4" fontId="1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30" fillId="6" borderId="3" xfId="0" applyFont="1" applyFill="1" applyBorder="1" applyAlignment="1" applyProtection="1">
      <alignment horizontal="left" vertical="center" wrapText="1" indent="1"/>
    </xf>
    <xf numFmtId="0" fontId="30" fillId="6" borderId="4" xfId="0" applyFont="1" applyFill="1" applyBorder="1" applyAlignment="1" applyProtection="1">
      <alignment horizontal="left" vertical="center" wrapText="1" indent="1"/>
    </xf>
    <xf numFmtId="0" fontId="30" fillId="6" borderId="5" xfId="0" applyFont="1" applyFill="1" applyBorder="1" applyAlignment="1" applyProtection="1">
      <alignment horizontal="left" vertical="center" wrapText="1" indent="1"/>
    </xf>
    <xf numFmtId="49" fontId="27" fillId="2" borderId="0" xfId="0" applyNumberFormat="1" applyFont="1" applyFill="1" applyBorder="1" applyAlignment="1" applyProtection="1">
      <alignment horizontal="left" vertical="center" indent="1"/>
    </xf>
    <xf numFmtId="10" fontId="4" fillId="3" borderId="0" xfId="1" applyNumberFormat="1" applyFont="1" applyFill="1" applyBorder="1" applyAlignment="1" applyProtection="1">
      <alignment horizontal="center" vertical="center"/>
    </xf>
    <xf numFmtId="164" fontId="4" fillId="3" borderId="0" xfId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left" vertical="center"/>
    </xf>
    <xf numFmtId="4" fontId="3" fillId="0" borderId="3" xfId="0" applyNumberFormat="1" applyFont="1" applyBorder="1" applyAlignment="1" applyProtection="1">
      <alignment horizontal="center" vertical="center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5" xfId="0" applyNumberFormat="1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 wrapText="1"/>
    </xf>
    <xf numFmtId="165" fontId="15" fillId="7" borderId="3" xfId="0" applyNumberFormat="1" applyFont="1" applyFill="1" applyBorder="1" applyAlignment="1" applyProtection="1">
      <alignment horizontal="center" vertical="center" wrapText="1"/>
      <protection locked="0"/>
    </xf>
    <xf numFmtId="165" fontId="15" fillId="7" borderId="4" xfId="0" applyNumberFormat="1" applyFont="1" applyFill="1" applyBorder="1" applyAlignment="1" applyProtection="1">
      <alignment horizontal="center" vertical="center" wrapText="1"/>
      <protection locked="0"/>
    </xf>
    <xf numFmtId="165" fontId="1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3"/>
  <sheetViews>
    <sheetView tabSelected="1" view="pageBreakPreview" topLeftCell="A88" zoomScale="70" zoomScaleNormal="100" zoomScaleSheetLayoutView="70" workbookViewId="0">
      <selection activeCell="C100" sqref="C100:H100"/>
    </sheetView>
  </sheetViews>
  <sheetFormatPr baseColWidth="10" defaultRowHeight="14.4" x14ac:dyDescent="0.3"/>
  <cols>
    <col min="1" max="1" width="12.21875" style="8" customWidth="1"/>
    <col min="2" max="2" width="5.88671875" style="8" customWidth="1"/>
    <col min="3" max="3" width="92.109375" style="8" customWidth="1"/>
    <col min="4" max="4" width="15" style="8" customWidth="1"/>
    <col min="5" max="8" width="17.77734375" style="8" customWidth="1"/>
    <col min="9" max="16384" width="11.5546875" style="8"/>
  </cols>
  <sheetData>
    <row r="1" spans="1:10" ht="34.200000000000003" customHeight="1" thickBot="1" x14ac:dyDescent="0.35">
      <c r="A1" s="93" t="s">
        <v>198</v>
      </c>
      <c r="B1" s="94"/>
      <c r="C1" s="94"/>
      <c r="D1" s="94"/>
      <c r="E1" s="94"/>
      <c r="F1" s="94"/>
      <c r="G1" s="94"/>
      <c r="H1" s="95"/>
      <c r="J1" s="72"/>
    </row>
    <row r="2" spans="1:10" ht="33.75" customHeight="1" x14ac:dyDescent="0.3">
      <c r="A2" s="96" t="s">
        <v>173</v>
      </c>
      <c r="B2" s="96"/>
      <c r="C2" s="96"/>
      <c r="D2" s="97" t="str">
        <f>IF(C94="","",C94)</f>
        <v/>
      </c>
      <c r="E2" s="97"/>
      <c r="F2" s="97"/>
      <c r="G2" s="97"/>
      <c r="H2" s="97"/>
    </row>
    <row r="3" spans="1:10" ht="33.75" customHeight="1" thickBot="1" x14ac:dyDescent="0.35">
      <c r="A3" s="74" t="s">
        <v>195</v>
      </c>
      <c r="B3" s="74"/>
      <c r="C3" s="74"/>
      <c r="D3" s="98" t="str">
        <f>IF(H90=3500,"",H90)</f>
        <v/>
      </c>
      <c r="E3" s="98"/>
      <c r="F3" s="98"/>
      <c r="G3" s="98"/>
      <c r="H3" s="98"/>
    </row>
    <row r="4" spans="1:10" ht="28.8" customHeight="1" thickBot="1" x14ac:dyDescent="0.35">
      <c r="A4" s="99"/>
      <c r="B4" s="99"/>
      <c r="C4" s="99"/>
      <c r="D4" s="100" t="s">
        <v>193</v>
      </c>
      <c r="E4" s="101"/>
      <c r="F4" s="102"/>
      <c r="G4" s="103" t="s">
        <v>194</v>
      </c>
      <c r="H4" s="104"/>
    </row>
    <row r="5" spans="1:10" ht="28.2" customHeight="1" thickBot="1" x14ac:dyDescent="0.35">
      <c r="A5" s="18" t="s">
        <v>174</v>
      </c>
      <c r="B5" s="19" t="s">
        <v>175</v>
      </c>
      <c r="C5" s="20" t="s">
        <v>176</v>
      </c>
      <c r="D5" s="21" t="s">
        <v>177</v>
      </c>
      <c r="E5" s="22" t="s">
        <v>178</v>
      </c>
      <c r="F5" s="23" t="s">
        <v>179</v>
      </c>
      <c r="G5" s="18" t="s">
        <v>178</v>
      </c>
      <c r="H5" s="23" t="s">
        <v>179</v>
      </c>
    </row>
    <row r="6" spans="1:10" ht="28.95" customHeight="1" thickBot="1" x14ac:dyDescent="0.35">
      <c r="A6" s="24" t="s">
        <v>0</v>
      </c>
      <c r="B6" s="25" t="s">
        <v>1</v>
      </c>
      <c r="C6" s="26" t="s">
        <v>2</v>
      </c>
      <c r="D6" s="27">
        <v>1</v>
      </c>
      <c r="E6" s="39">
        <f>SUM(F8:F26)</f>
        <v>32692.37</v>
      </c>
      <c r="F6" s="40">
        <f>E6*D6</f>
        <v>32692.37</v>
      </c>
      <c r="G6" s="39">
        <f>SUM(H7:H26)</f>
        <v>0</v>
      </c>
      <c r="H6" s="41">
        <f>G6*D6</f>
        <v>0</v>
      </c>
    </row>
    <row r="7" spans="1:10" s="73" customFormat="1" ht="24" customHeight="1" x14ac:dyDescent="0.25">
      <c r="A7" s="11" t="s">
        <v>3</v>
      </c>
      <c r="B7" s="12" t="s">
        <v>1</v>
      </c>
      <c r="C7" s="13" t="s">
        <v>4</v>
      </c>
      <c r="D7" s="14"/>
      <c r="E7" s="15"/>
      <c r="F7" s="14"/>
      <c r="G7" s="16"/>
      <c r="H7" s="17"/>
    </row>
    <row r="8" spans="1:10" ht="29.1" customHeight="1" x14ac:dyDescent="0.3">
      <c r="A8" s="1" t="s">
        <v>5</v>
      </c>
      <c r="B8" s="2" t="s">
        <v>6</v>
      </c>
      <c r="C8" s="3" t="s">
        <v>7</v>
      </c>
      <c r="D8" s="5">
        <v>1</v>
      </c>
      <c r="E8" s="6">
        <f>ROUND(204.78*1.06,2)</f>
        <v>217.07</v>
      </c>
      <c r="F8" s="7">
        <f>ROUND(D8*E8,2)</f>
        <v>217.07</v>
      </c>
      <c r="G8" s="77"/>
      <c r="H8" s="79">
        <f>ROUND(D8*G8,2)</f>
        <v>0</v>
      </c>
    </row>
    <row r="9" spans="1:10" ht="29.1" customHeight="1" x14ac:dyDescent="0.3">
      <c r="A9" s="1" t="s">
        <v>8</v>
      </c>
      <c r="B9" s="2" t="s">
        <v>9</v>
      </c>
      <c r="C9" s="3" t="s">
        <v>10</v>
      </c>
      <c r="D9" s="5">
        <v>60</v>
      </c>
      <c r="E9" s="6">
        <f>ROUND(6.17*1.06,2)</f>
        <v>6.54</v>
      </c>
      <c r="F9" s="7">
        <f>ROUND(D9*E9,2)</f>
        <v>392.4</v>
      </c>
      <c r="G9" s="77"/>
      <c r="H9" s="79">
        <f>ROUND(D9*G9,2)</f>
        <v>0</v>
      </c>
    </row>
    <row r="10" spans="1:10" ht="29.1" customHeight="1" x14ac:dyDescent="0.3">
      <c r="A10" s="1" t="s">
        <v>11</v>
      </c>
      <c r="B10" s="2" t="s">
        <v>6</v>
      </c>
      <c r="C10" s="3" t="s">
        <v>12</v>
      </c>
      <c r="D10" s="5">
        <v>4</v>
      </c>
      <c r="E10" s="6">
        <f>ROUND(106.93*1.06,2)</f>
        <v>113.35</v>
      </c>
      <c r="F10" s="7">
        <f>ROUND(D10*E10,2)</f>
        <v>453.4</v>
      </c>
      <c r="G10" s="77"/>
      <c r="H10" s="79">
        <f>ROUND(D10*G10,2)</f>
        <v>0</v>
      </c>
    </row>
    <row r="11" spans="1:10" s="73" customFormat="1" ht="24" customHeight="1" x14ac:dyDescent="0.25">
      <c r="A11" s="11" t="s">
        <v>13</v>
      </c>
      <c r="B11" s="12" t="s">
        <v>1</v>
      </c>
      <c r="C11" s="13" t="s">
        <v>14</v>
      </c>
      <c r="D11" s="14"/>
      <c r="E11" s="15"/>
      <c r="F11" s="14"/>
      <c r="G11" s="80"/>
      <c r="H11" s="81"/>
    </row>
    <row r="12" spans="1:10" ht="29.1" customHeight="1" x14ac:dyDescent="0.3">
      <c r="A12" s="1" t="s">
        <v>15</v>
      </c>
      <c r="B12" s="2" t="s">
        <v>6</v>
      </c>
      <c r="C12" s="3" t="s">
        <v>158</v>
      </c>
      <c r="D12" s="5">
        <v>4</v>
      </c>
      <c r="E12" s="6">
        <f>ROUND(755.2*1.06,2)</f>
        <v>800.51</v>
      </c>
      <c r="F12" s="7">
        <f t="shared" ref="F12:F26" si="0">ROUND(D12*E12,2)</f>
        <v>3202.04</v>
      </c>
      <c r="G12" s="77"/>
      <c r="H12" s="79">
        <f t="shared" ref="H12:H26" si="1">ROUND(D12*G12,2)</f>
        <v>0</v>
      </c>
    </row>
    <row r="13" spans="1:10" ht="29.1" customHeight="1" x14ac:dyDescent="0.3">
      <c r="A13" s="1" t="s">
        <v>16</v>
      </c>
      <c r="B13" s="2" t="s">
        <v>17</v>
      </c>
      <c r="C13" s="3" t="s">
        <v>159</v>
      </c>
      <c r="D13" s="5">
        <v>24</v>
      </c>
      <c r="E13" s="6">
        <f>ROUND(106.38*1.06,2)</f>
        <v>112.76</v>
      </c>
      <c r="F13" s="7">
        <f t="shared" si="0"/>
        <v>2706.24</v>
      </c>
      <c r="G13" s="77"/>
      <c r="H13" s="79">
        <f t="shared" si="1"/>
        <v>0</v>
      </c>
    </row>
    <row r="14" spans="1:10" ht="29.1" customHeight="1" x14ac:dyDescent="0.3">
      <c r="A14" s="1" t="s">
        <v>18</v>
      </c>
      <c r="B14" s="2" t="s">
        <v>17</v>
      </c>
      <c r="C14" s="3" t="s">
        <v>160</v>
      </c>
      <c r="D14" s="5">
        <v>24</v>
      </c>
      <c r="E14" s="6">
        <f>ROUND(214.69*1.06,2)</f>
        <v>227.57</v>
      </c>
      <c r="F14" s="7">
        <f t="shared" si="0"/>
        <v>5461.68</v>
      </c>
      <c r="G14" s="77"/>
      <c r="H14" s="79">
        <f t="shared" si="1"/>
        <v>0</v>
      </c>
    </row>
    <row r="15" spans="1:10" ht="29.1" customHeight="1" x14ac:dyDescent="0.3">
      <c r="A15" s="1" t="s">
        <v>19</v>
      </c>
      <c r="B15" s="2" t="s">
        <v>6</v>
      </c>
      <c r="C15" s="3" t="s">
        <v>161</v>
      </c>
      <c r="D15" s="5">
        <v>4</v>
      </c>
      <c r="E15" s="6">
        <f>ROUND(875.98*1.06,2)</f>
        <v>928.54</v>
      </c>
      <c r="F15" s="7">
        <f t="shared" si="0"/>
        <v>3714.16</v>
      </c>
      <c r="G15" s="77"/>
      <c r="H15" s="79">
        <f t="shared" si="1"/>
        <v>0</v>
      </c>
    </row>
    <row r="16" spans="1:10" ht="29.1" customHeight="1" x14ac:dyDescent="0.3">
      <c r="A16" s="1" t="s">
        <v>20</v>
      </c>
      <c r="B16" s="2" t="s">
        <v>6</v>
      </c>
      <c r="C16" s="3" t="s">
        <v>162</v>
      </c>
      <c r="D16" s="5">
        <v>2</v>
      </c>
      <c r="E16" s="6">
        <f>ROUND(324.76*1.06,2)</f>
        <v>344.25</v>
      </c>
      <c r="F16" s="7">
        <f t="shared" si="0"/>
        <v>688.5</v>
      </c>
      <c r="G16" s="77"/>
      <c r="H16" s="79">
        <f t="shared" si="1"/>
        <v>0</v>
      </c>
    </row>
    <row r="17" spans="1:8" ht="29.1" customHeight="1" x14ac:dyDescent="0.3">
      <c r="A17" s="1" t="s">
        <v>21</v>
      </c>
      <c r="B17" s="2" t="s">
        <v>6</v>
      </c>
      <c r="C17" s="3" t="s">
        <v>163</v>
      </c>
      <c r="D17" s="5">
        <v>6</v>
      </c>
      <c r="E17" s="6">
        <f>ROUND(873.34*1.06,2)</f>
        <v>925.74</v>
      </c>
      <c r="F17" s="7">
        <f t="shared" si="0"/>
        <v>5554.44</v>
      </c>
      <c r="G17" s="77"/>
      <c r="H17" s="79">
        <f t="shared" si="1"/>
        <v>0</v>
      </c>
    </row>
    <row r="18" spans="1:8" ht="29.1" customHeight="1" x14ac:dyDescent="0.3">
      <c r="A18" s="1" t="s">
        <v>22</v>
      </c>
      <c r="B18" s="2" t="s">
        <v>6</v>
      </c>
      <c r="C18" s="3" t="s">
        <v>164</v>
      </c>
      <c r="D18" s="5">
        <v>6</v>
      </c>
      <c r="E18" s="6">
        <f>ROUND(421.48*1.06,2)</f>
        <v>446.77</v>
      </c>
      <c r="F18" s="7">
        <f t="shared" si="0"/>
        <v>2680.62</v>
      </c>
      <c r="G18" s="77"/>
      <c r="H18" s="79">
        <f t="shared" si="1"/>
        <v>0</v>
      </c>
    </row>
    <row r="19" spans="1:8" ht="29.1" customHeight="1" x14ac:dyDescent="0.3">
      <c r="A19" s="1" t="s">
        <v>23</v>
      </c>
      <c r="B19" s="2" t="s">
        <v>6</v>
      </c>
      <c r="C19" s="3" t="s">
        <v>165</v>
      </c>
      <c r="D19" s="5">
        <v>6</v>
      </c>
      <c r="E19" s="6">
        <f>ROUND(188.8*1.06,2)</f>
        <v>200.13</v>
      </c>
      <c r="F19" s="7">
        <f t="shared" si="0"/>
        <v>1200.78</v>
      </c>
      <c r="G19" s="77"/>
      <c r="H19" s="79">
        <f t="shared" si="1"/>
        <v>0</v>
      </c>
    </row>
    <row r="20" spans="1:8" ht="29.1" customHeight="1" x14ac:dyDescent="0.3">
      <c r="A20" s="1" t="s">
        <v>24</v>
      </c>
      <c r="B20" s="2" t="s">
        <v>6</v>
      </c>
      <c r="C20" s="3" t="s">
        <v>166</v>
      </c>
      <c r="D20" s="5">
        <v>1</v>
      </c>
      <c r="E20" s="6">
        <f>ROUND(3156.4*1.06,2)</f>
        <v>3345.78</v>
      </c>
      <c r="F20" s="7">
        <f t="shared" si="0"/>
        <v>3345.78</v>
      </c>
      <c r="G20" s="77"/>
      <c r="H20" s="79">
        <f t="shared" si="1"/>
        <v>0</v>
      </c>
    </row>
    <row r="21" spans="1:8" ht="29.1" customHeight="1" x14ac:dyDescent="0.3">
      <c r="A21" s="1" t="s">
        <v>25</v>
      </c>
      <c r="B21" s="2" t="s">
        <v>6</v>
      </c>
      <c r="C21" s="3" t="s">
        <v>167</v>
      </c>
      <c r="D21" s="5">
        <v>2</v>
      </c>
      <c r="E21" s="6">
        <f>ROUND(162.15*1.06,2)</f>
        <v>171.88</v>
      </c>
      <c r="F21" s="7">
        <f t="shared" si="0"/>
        <v>343.76</v>
      </c>
      <c r="G21" s="77"/>
      <c r="H21" s="79">
        <f t="shared" si="1"/>
        <v>0</v>
      </c>
    </row>
    <row r="22" spans="1:8" ht="29.1" customHeight="1" x14ac:dyDescent="0.3">
      <c r="A22" s="1" t="s">
        <v>26</v>
      </c>
      <c r="B22" s="2" t="s">
        <v>9</v>
      </c>
      <c r="C22" s="3" t="s">
        <v>168</v>
      </c>
      <c r="D22" s="5">
        <v>50</v>
      </c>
      <c r="E22" s="6">
        <f>ROUND(4.14*1.06,2)</f>
        <v>4.3899999999999997</v>
      </c>
      <c r="F22" s="7">
        <f t="shared" si="0"/>
        <v>219.5</v>
      </c>
      <c r="G22" s="77"/>
      <c r="H22" s="79">
        <f t="shared" si="1"/>
        <v>0</v>
      </c>
    </row>
    <row r="23" spans="1:8" ht="29.1" customHeight="1" x14ac:dyDescent="0.3">
      <c r="A23" s="1" t="s">
        <v>27</v>
      </c>
      <c r="B23" s="2" t="s">
        <v>6</v>
      </c>
      <c r="C23" s="3" t="s">
        <v>169</v>
      </c>
      <c r="D23" s="5">
        <v>1</v>
      </c>
      <c r="E23" s="6">
        <f>ROUND(406.93*1.06,2)</f>
        <v>431.35</v>
      </c>
      <c r="F23" s="7">
        <f t="shared" si="0"/>
        <v>431.35</v>
      </c>
      <c r="G23" s="77"/>
      <c r="H23" s="79">
        <f t="shared" si="1"/>
        <v>0</v>
      </c>
    </row>
    <row r="24" spans="1:8" ht="29.1" customHeight="1" x14ac:dyDescent="0.3">
      <c r="A24" s="1" t="s">
        <v>28</v>
      </c>
      <c r="B24" s="2" t="s">
        <v>6</v>
      </c>
      <c r="C24" s="3" t="s">
        <v>170</v>
      </c>
      <c r="D24" s="5">
        <v>1</v>
      </c>
      <c r="E24" s="6">
        <f>ROUND(498.96*1.06,2)</f>
        <v>528.9</v>
      </c>
      <c r="F24" s="7">
        <f t="shared" si="0"/>
        <v>528.9</v>
      </c>
      <c r="G24" s="77"/>
      <c r="H24" s="79">
        <f t="shared" si="1"/>
        <v>0</v>
      </c>
    </row>
    <row r="25" spans="1:8" ht="29.1" customHeight="1" x14ac:dyDescent="0.3">
      <c r="A25" s="1" t="s">
        <v>29</v>
      </c>
      <c r="B25" s="2" t="s">
        <v>6</v>
      </c>
      <c r="C25" s="3" t="s">
        <v>171</v>
      </c>
      <c r="D25" s="5">
        <v>1</v>
      </c>
      <c r="E25" s="6">
        <f>ROUND(454.72*1.06,2)</f>
        <v>482</v>
      </c>
      <c r="F25" s="7">
        <f t="shared" si="0"/>
        <v>482</v>
      </c>
      <c r="G25" s="77"/>
      <c r="H25" s="79">
        <f t="shared" si="1"/>
        <v>0</v>
      </c>
    </row>
    <row r="26" spans="1:8" ht="29.1" customHeight="1" thickBot="1" x14ac:dyDescent="0.35">
      <c r="A26" s="1" t="s">
        <v>30</v>
      </c>
      <c r="B26" s="2" t="s">
        <v>6</v>
      </c>
      <c r="C26" s="3" t="s">
        <v>172</v>
      </c>
      <c r="D26" s="5">
        <v>1</v>
      </c>
      <c r="E26" s="6">
        <f>ROUND(1009.2*1.06,2)</f>
        <v>1069.75</v>
      </c>
      <c r="F26" s="7">
        <f t="shared" si="0"/>
        <v>1069.75</v>
      </c>
      <c r="G26" s="77"/>
      <c r="H26" s="79">
        <f t="shared" si="1"/>
        <v>0</v>
      </c>
    </row>
    <row r="27" spans="1:8" ht="28.95" customHeight="1" thickBot="1" x14ac:dyDescent="0.35">
      <c r="A27" s="24" t="s">
        <v>31</v>
      </c>
      <c r="B27" s="25" t="s">
        <v>1</v>
      </c>
      <c r="C27" s="26" t="s">
        <v>32</v>
      </c>
      <c r="D27" s="27">
        <v>1</v>
      </c>
      <c r="E27" s="39">
        <f>SUM(F29:F40)</f>
        <v>37484.239999999998</v>
      </c>
      <c r="F27" s="40">
        <f>E27*D27</f>
        <v>37484.239999999998</v>
      </c>
      <c r="G27" s="39">
        <f>SUM(H28:H40)</f>
        <v>0</v>
      </c>
      <c r="H27" s="41">
        <f>G27*D27</f>
        <v>0</v>
      </c>
    </row>
    <row r="28" spans="1:8" s="73" customFormat="1" ht="24" customHeight="1" x14ac:dyDescent="0.25">
      <c r="A28" s="11" t="s">
        <v>33</v>
      </c>
      <c r="B28" s="12" t="s">
        <v>1</v>
      </c>
      <c r="C28" s="13" t="s">
        <v>34</v>
      </c>
      <c r="D28" s="14"/>
      <c r="E28" s="15"/>
      <c r="F28" s="14"/>
      <c r="G28" s="16"/>
      <c r="H28" s="17"/>
    </row>
    <row r="29" spans="1:8" ht="29.1" customHeight="1" x14ac:dyDescent="0.3">
      <c r="A29" s="1" t="s">
        <v>35</v>
      </c>
      <c r="B29" s="2" t="s">
        <v>9</v>
      </c>
      <c r="C29" s="3" t="s">
        <v>36</v>
      </c>
      <c r="D29" s="4">
        <v>170</v>
      </c>
      <c r="E29" s="6">
        <f>ROUND(2.91*1.06,2)</f>
        <v>3.08</v>
      </c>
      <c r="F29" s="7">
        <f>ROUND(D29*E29,2)</f>
        <v>523.6</v>
      </c>
      <c r="G29" s="77"/>
      <c r="H29" s="79">
        <f t="shared" ref="H29:H33" si="2">ROUND(D29*G29,2)</f>
        <v>0</v>
      </c>
    </row>
    <row r="30" spans="1:8" ht="29.1" customHeight="1" x14ac:dyDescent="0.3">
      <c r="A30" s="1" t="s">
        <v>37</v>
      </c>
      <c r="B30" s="2" t="s">
        <v>6</v>
      </c>
      <c r="C30" s="3" t="s">
        <v>38</v>
      </c>
      <c r="D30" s="4">
        <v>2</v>
      </c>
      <c r="E30" s="6">
        <f>ROUND(123.58*1.06,2)</f>
        <v>130.99</v>
      </c>
      <c r="F30" s="7">
        <f>ROUND(D30*E30,2)</f>
        <v>261.98</v>
      </c>
      <c r="G30" s="77"/>
      <c r="H30" s="79">
        <f t="shared" si="2"/>
        <v>0</v>
      </c>
    </row>
    <row r="31" spans="1:8" ht="29.1" customHeight="1" x14ac:dyDescent="0.3">
      <c r="A31" s="1" t="s">
        <v>39</v>
      </c>
      <c r="B31" s="2" t="s">
        <v>6</v>
      </c>
      <c r="C31" s="3" t="s">
        <v>40</v>
      </c>
      <c r="D31" s="4">
        <v>1</v>
      </c>
      <c r="E31" s="6">
        <f>ROUND(154.4*1.06,2)</f>
        <v>163.66</v>
      </c>
      <c r="F31" s="7">
        <f>ROUND(D31*E31,2)</f>
        <v>163.66</v>
      </c>
      <c r="G31" s="77"/>
      <c r="H31" s="79">
        <f t="shared" si="2"/>
        <v>0</v>
      </c>
    </row>
    <row r="32" spans="1:8" ht="29.1" customHeight="1" x14ac:dyDescent="0.3">
      <c r="A32" s="1" t="s">
        <v>41</v>
      </c>
      <c r="B32" s="2" t="s">
        <v>6</v>
      </c>
      <c r="C32" s="3" t="s">
        <v>42</v>
      </c>
      <c r="D32" s="4">
        <v>1</v>
      </c>
      <c r="E32" s="6">
        <f>ROUND(115.8*1.06,2)</f>
        <v>122.75</v>
      </c>
      <c r="F32" s="7">
        <f>ROUND(D32*E32,2)</f>
        <v>122.75</v>
      </c>
      <c r="G32" s="77"/>
      <c r="H32" s="79">
        <f t="shared" si="2"/>
        <v>0</v>
      </c>
    </row>
    <row r="33" spans="1:8" ht="29.1" customHeight="1" x14ac:dyDescent="0.3">
      <c r="A33" s="1" t="s">
        <v>43</v>
      </c>
      <c r="B33" s="2" t="s">
        <v>6</v>
      </c>
      <c r="C33" s="3" t="s">
        <v>44</v>
      </c>
      <c r="D33" s="4">
        <v>1</v>
      </c>
      <c r="E33" s="6">
        <f>ROUND(118.52*1.06,2)</f>
        <v>125.63</v>
      </c>
      <c r="F33" s="7">
        <f>ROUND(D33*E33,2)</f>
        <v>125.63</v>
      </c>
      <c r="G33" s="77"/>
      <c r="H33" s="79">
        <f t="shared" si="2"/>
        <v>0</v>
      </c>
    </row>
    <row r="34" spans="1:8" s="73" customFormat="1" ht="24" customHeight="1" x14ac:dyDescent="0.25">
      <c r="A34" s="11" t="s">
        <v>45</v>
      </c>
      <c r="B34" s="12" t="s">
        <v>1</v>
      </c>
      <c r="C34" s="13" t="s">
        <v>46</v>
      </c>
      <c r="D34" s="14"/>
      <c r="E34" s="15"/>
      <c r="F34" s="14"/>
      <c r="G34" s="80"/>
      <c r="H34" s="81"/>
    </row>
    <row r="35" spans="1:8" ht="29.1" customHeight="1" x14ac:dyDescent="0.3">
      <c r="A35" s="1" t="s">
        <v>47</v>
      </c>
      <c r="B35" s="2" t="s">
        <v>48</v>
      </c>
      <c r="C35" s="3" t="s">
        <v>49</v>
      </c>
      <c r="D35" s="4">
        <v>43.35</v>
      </c>
      <c r="E35" s="6">
        <f>ROUND(50.74*1.06,2)</f>
        <v>53.78</v>
      </c>
      <c r="F35" s="7">
        <f t="shared" ref="F35:F40" si="3">ROUND(D35*E35,2)</f>
        <v>2331.36</v>
      </c>
      <c r="G35" s="77"/>
      <c r="H35" s="79">
        <f t="shared" ref="H35:H40" si="4">ROUND(D35*G35,2)</f>
        <v>0</v>
      </c>
    </row>
    <row r="36" spans="1:8" ht="29.1" customHeight="1" x14ac:dyDescent="0.3">
      <c r="A36" s="1" t="s">
        <v>50</v>
      </c>
      <c r="B36" s="2" t="s">
        <v>48</v>
      </c>
      <c r="C36" s="3" t="s">
        <v>51</v>
      </c>
      <c r="D36" s="4">
        <v>363</v>
      </c>
      <c r="E36" s="6">
        <f>ROUND(75.51*1.06,2)</f>
        <v>80.040000000000006</v>
      </c>
      <c r="F36" s="7">
        <f t="shared" si="3"/>
        <v>29054.52</v>
      </c>
      <c r="G36" s="77"/>
      <c r="H36" s="79">
        <f t="shared" si="4"/>
        <v>0</v>
      </c>
    </row>
    <row r="37" spans="1:8" ht="29.1" customHeight="1" x14ac:dyDescent="0.3">
      <c r="A37" s="1" t="s">
        <v>52</v>
      </c>
      <c r="B37" s="2" t="s">
        <v>53</v>
      </c>
      <c r="C37" s="3" t="s">
        <v>54</v>
      </c>
      <c r="D37" s="4">
        <v>675</v>
      </c>
      <c r="E37" s="6">
        <f>ROUND(4.79*1.06,2)</f>
        <v>5.08</v>
      </c>
      <c r="F37" s="7">
        <f t="shared" si="3"/>
        <v>3429</v>
      </c>
      <c r="G37" s="77"/>
      <c r="H37" s="79">
        <f t="shared" si="4"/>
        <v>0</v>
      </c>
    </row>
    <row r="38" spans="1:8" ht="29.1" customHeight="1" x14ac:dyDescent="0.3">
      <c r="A38" s="1" t="s">
        <v>55</v>
      </c>
      <c r="B38" s="2" t="s">
        <v>48</v>
      </c>
      <c r="C38" s="3" t="s">
        <v>56</v>
      </c>
      <c r="D38" s="4">
        <v>37.35</v>
      </c>
      <c r="E38" s="6">
        <f>ROUND(24.74*1.06,2)</f>
        <v>26.22</v>
      </c>
      <c r="F38" s="7">
        <f t="shared" si="3"/>
        <v>979.32</v>
      </c>
      <c r="G38" s="77"/>
      <c r="H38" s="79">
        <f t="shared" si="4"/>
        <v>0</v>
      </c>
    </row>
    <row r="39" spans="1:8" ht="29.1" customHeight="1" x14ac:dyDescent="0.3">
      <c r="A39" s="1" t="s">
        <v>57</v>
      </c>
      <c r="B39" s="2" t="s">
        <v>58</v>
      </c>
      <c r="C39" s="3" t="s">
        <v>59</v>
      </c>
      <c r="D39" s="4">
        <v>6</v>
      </c>
      <c r="E39" s="6">
        <f>ROUND(43.57*1.06,2)</f>
        <v>46.18</v>
      </c>
      <c r="F39" s="7">
        <f t="shared" si="3"/>
        <v>277.08</v>
      </c>
      <c r="G39" s="77"/>
      <c r="H39" s="79">
        <f t="shared" si="4"/>
        <v>0</v>
      </c>
    </row>
    <row r="40" spans="1:8" ht="29.1" customHeight="1" thickBot="1" x14ac:dyDescent="0.35">
      <c r="A40" s="1" t="s">
        <v>60</v>
      </c>
      <c r="B40" s="2" t="s">
        <v>48</v>
      </c>
      <c r="C40" s="3" t="s">
        <v>61</v>
      </c>
      <c r="D40" s="4">
        <v>6</v>
      </c>
      <c r="E40" s="6">
        <f>ROUND(33.86*1.06,2)</f>
        <v>35.89</v>
      </c>
      <c r="F40" s="7">
        <f t="shared" si="3"/>
        <v>215.34</v>
      </c>
      <c r="G40" s="77"/>
      <c r="H40" s="79">
        <f t="shared" si="4"/>
        <v>0</v>
      </c>
    </row>
    <row r="41" spans="1:8" ht="28.95" customHeight="1" thickBot="1" x14ac:dyDescent="0.35">
      <c r="A41" s="24" t="s">
        <v>62</v>
      </c>
      <c r="B41" s="25" t="s">
        <v>1</v>
      </c>
      <c r="C41" s="26" t="s">
        <v>63</v>
      </c>
      <c r="D41" s="27">
        <v>1</v>
      </c>
      <c r="E41" s="39">
        <f>SUM(F43:F77)</f>
        <v>105997.67</v>
      </c>
      <c r="F41" s="40">
        <f>E41*D41</f>
        <v>105997.67</v>
      </c>
      <c r="G41" s="39">
        <f>SUM(H42:H77)</f>
        <v>3500</v>
      </c>
      <c r="H41" s="41">
        <f>G41*D41</f>
        <v>3500</v>
      </c>
    </row>
    <row r="42" spans="1:8" s="73" customFormat="1" ht="24" customHeight="1" x14ac:dyDescent="0.25">
      <c r="A42" s="11" t="s">
        <v>64</v>
      </c>
      <c r="B42" s="12" t="s">
        <v>1</v>
      </c>
      <c r="C42" s="13" t="s">
        <v>65</v>
      </c>
      <c r="D42" s="14"/>
      <c r="E42" s="15"/>
      <c r="F42" s="14"/>
      <c r="G42" s="80"/>
      <c r="H42" s="81"/>
    </row>
    <row r="43" spans="1:8" ht="29.1" customHeight="1" x14ac:dyDescent="0.3">
      <c r="A43" s="1" t="s">
        <v>66</v>
      </c>
      <c r="B43" s="2" t="s">
        <v>6</v>
      </c>
      <c r="C43" s="3" t="s">
        <v>67</v>
      </c>
      <c r="D43" s="4">
        <v>2</v>
      </c>
      <c r="E43" s="6">
        <f>ROUND(4609.9*1.06,2)</f>
        <v>4886.49</v>
      </c>
      <c r="F43" s="7">
        <f t="shared" ref="F43:F51" si="5">ROUND(D43*E43,2)</f>
        <v>9772.98</v>
      </c>
      <c r="G43" s="77"/>
      <c r="H43" s="79">
        <f t="shared" ref="H43:H51" si="6">ROUND(D43*G43,2)</f>
        <v>0</v>
      </c>
    </row>
    <row r="44" spans="1:8" ht="29.1" customHeight="1" x14ac:dyDescent="0.3">
      <c r="A44" s="1" t="s">
        <v>68</v>
      </c>
      <c r="B44" s="2" t="s">
        <v>6</v>
      </c>
      <c r="C44" s="3" t="s">
        <v>69</v>
      </c>
      <c r="D44" s="4">
        <v>2</v>
      </c>
      <c r="E44" s="6">
        <f>ROUND(1048.97*1.06,2)</f>
        <v>1111.9100000000001</v>
      </c>
      <c r="F44" s="7">
        <f t="shared" si="5"/>
        <v>2223.8200000000002</v>
      </c>
      <c r="G44" s="77"/>
      <c r="H44" s="79">
        <f t="shared" si="6"/>
        <v>0</v>
      </c>
    </row>
    <row r="45" spans="1:8" ht="29.1" customHeight="1" x14ac:dyDescent="0.3">
      <c r="A45" s="1" t="s">
        <v>70</v>
      </c>
      <c r="B45" s="2" t="s">
        <v>6</v>
      </c>
      <c r="C45" s="3" t="s">
        <v>71</v>
      </c>
      <c r="D45" s="4">
        <v>2</v>
      </c>
      <c r="E45" s="6">
        <f>ROUND(375.39*1.06,2)</f>
        <v>397.91</v>
      </c>
      <c r="F45" s="7">
        <f t="shared" si="5"/>
        <v>795.82</v>
      </c>
      <c r="G45" s="77"/>
      <c r="H45" s="79">
        <f t="shared" si="6"/>
        <v>0</v>
      </c>
    </row>
    <row r="46" spans="1:8" ht="29.1" customHeight="1" x14ac:dyDescent="0.3">
      <c r="A46" s="1" t="s">
        <v>72</v>
      </c>
      <c r="B46" s="2" t="s">
        <v>6</v>
      </c>
      <c r="C46" s="3" t="s">
        <v>73</v>
      </c>
      <c r="D46" s="4">
        <v>4</v>
      </c>
      <c r="E46" s="6">
        <f>ROUND(163.69*1.06,2)</f>
        <v>173.51</v>
      </c>
      <c r="F46" s="7">
        <f t="shared" si="5"/>
        <v>694.04</v>
      </c>
      <c r="G46" s="77"/>
      <c r="H46" s="79">
        <f t="shared" si="6"/>
        <v>0</v>
      </c>
    </row>
    <row r="47" spans="1:8" ht="29.1" customHeight="1" x14ac:dyDescent="0.3">
      <c r="A47" s="1" t="s">
        <v>74</v>
      </c>
      <c r="B47" s="2" t="s">
        <v>6</v>
      </c>
      <c r="C47" s="3" t="s">
        <v>75</v>
      </c>
      <c r="D47" s="4">
        <v>1</v>
      </c>
      <c r="E47" s="6">
        <f>ROUND(263.53*1.06,2)</f>
        <v>279.33999999999997</v>
      </c>
      <c r="F47" s="7">
        <f t="shared" si="5"/>
        <v>279.33999999999997</v>
      </c>
      <c r="G47" s="77"/>
      <c r="H47" s="79">
        <f t="shared" si="6"/>
        <v>0</v>
      </c>
    </row>
    <row r="48" spans="1:8" ht="29.1" customHeight="1" x14ac:dyDescent="0.3">
      <c r="A48" s="1" t="s">
        <v>76</v>
      </c>
      <c r="B48" s="2" t="s">
        <v>6</v>
      </c>
      <c r="C48" s="3" t="s">
        <v>77</v>
      </c>
      <c r="D48" s="4">
        <v>1</v>
      </c>
      <c r="E48" s="6">
        <f>ROUND(205.88*1.06,2)</f>
        <v>218.23</v>
      </c>
      <c r="F48" s="7">
        <f t="shared" si="5"/>
        <v>218.23</v>
      </c>
      <c r="G48" s="77"/>
      <c r="H48" s="79">
        <f t="shared" si="6"/>
        <v>0</v>
      </c>
    </row>
    <row r="49" spans="1:8" ht="29.1" customHeight="1" x14ac:dyDescent="0.3">
      <c r="A49" s="1" t="s">
        <v>78</v>
      </c>
      <c r="B49" s="2" t="s">
        <v>9</v>
      </c>
      <c r="C49" s="3" t="s">
        <v>79</v>
      </c>
      <c r="D49" s="4">
        <v>368</v>
      </c>
      <c r="E49" s="6">
        <f>ROUND(37.9*1.06,2)</f>
        <v>40.17</v>
      </c>
      <c r="F49" s="7">
        <f t="shared" si="5"/>
        <v>14782.56</v>
      </c>
      <c r="G49" s="77"/>
      <c r="H49" s="79">
        <f t="shared" si="6"/>
        <v>0</v>
      </c>
    </row>
    <row r="50" spans="1:8" ht="29.1" customHeight="1" x14ac:dyDescent="0.3">
      <c r="A50" s="1" t="s">
        <v>80</v>
      </c>
      <c r="B50" s="2" t="s">
        <v>9</v>
      </c>
      <c r="C50" s="3" t="s">
        <v>81</v>
      </c>
      <c r="D50" s="4">
        <v>368</v>
      </c>
      <c r="E50" s="6">
        <f>ROUND(3.19*1.06,2)</f>
        <v>3.38</v>
      </c>
      <c r="F50" s="7">
        <f t="shared" si="5"/>
        <v>1243.8399999999999</v>
      </c>
      <c r="G50" s="77"/>
      <c r="H50" s="79">
        <f t="shared" si="6"/>
        <v>0</v>
      </c>
    </row>
    <row r="51" spans="1:8" ht="29.1" customHeight="1" x14ac:dyDescent="0.3">
      <c r="A51" s="1" t="s">
        <v>82</v>
      </c>
      <c r="B51" s="2" t="s">
        <v>9</v>
      </c>
      <c r="C51" s="3" t="s">
        <v>83</v>
      </c>
      <c r="D51" s="4">
        <v>538</v>
      </c>
      <c r="E51" s="6">
        <f>ROUND(1.16*1.06,2)</f>
        <v>1.23</v>
      </c>
      <c r="F51" s="7">
        <f t="shared" si="5"/>
        <v>661.74</v>
      </c>
      <c r="G51" s="77"/>
      <c r="H51" s="79">
        <f t="shared" si="6"/>
        <v>0</v>
      </c>
    </row>
    <row r="52" spans="1:8" s="73" customFormat="1" ht="24" customHeight="1" x14ac:dyDescent="0.25">
      <c r="A52" s="11" t="s">
        <v>84</v>
      </c>
      <c r="B52" s="12" t="s">
        <v>1</v>
      </c>
      <c r="C52" s="13" t="s">
        <v>85</v>
      </c>
      <c r="D52" s="14"/>
      <c r="E52" s="15"/>
      <c r="F52" s="14"/>
      <c r="G52" s="80"/>
      <c r="H52" s="81"/>
    </row>
    <row r="53" spans="1:8" ht="29.1" customHeight="1" x14ac:dyDescent="0.3">
      <c r="A53" s="1" t="s">
        <v>86</v>
      </c>
      <c r="B53" s="2" t="s">
        <v>53</v>
      </c>
      <c r="C53" s="3" t="s">
        <v>87</v>
      </c>
      <c r="D53" s="4">
        <v>605</v>
      </c>
      <c r="E53" s="6">
        <f>ROUND(11.04*1.06,2)</f>
        <v>11.7</v>
      </c>
      <c r="F53" s="7">
        <f t="shared" ref="F53:F67" si="7">ROUND(D53*E53,2)</f>
        <v>7078.5</v>
      </c>
      <c r="G53" s="77"/>
      <c r="H53" s="79">
        <f t="shared" ref="H53:H67" si="8">ROUND(D53*G53,2)</f>
        <v>0</v>
      </c>
    </row>
    <row r="54" spans="1:8" ht="29.1" customHeight="1" x14ac:dyDescent="0.3">
      <c r="A54" s="1" t="s">
        <v>88</v>
      </c>
      <c r="B54" s="2" t="s">
        <v>17</v>
      </c>
      <c r="C54" s="3" t="s">
        <v>89</v>
      </c>
      <c r="D54" s="4">
        <v>242</v>
      </c>
      <c r="E54" s="6">
        <f>ROUND(20.76*1.06,2)</f>
        <v>22.01</v>
      </c>
      <c r="F54" s="7">
        <f t="shared" si="7"/>
        <v>5326.42</v>
      </c>
      <c r="G54" s="77"/>
      <c r="H54" s="79">
        <f t="shared" si="8"/>
        <v>0</v>
      </c>
    </row>
    <row r="55" spans="1:8" ht="29.1" customHeight="1" x14ac:dyDescent="0.3">
      <c r="A55" s="1" t="s">
        <v>90</v>
      </c>
      <c r="B55" s="2" t="s">
        <v>6</v>
      </c>
      <c r="C55" s="3" t="s">
        <v>91</v>
      </c>
      <c r="D55" s="4">
        <v>230</v>
      </c>
      <c r="E55" s="6">
        <f>ROUND(76.42*1.06,2)</f>
        <v>81.010000000000005</v>
      </c>
      <c r="F55" s="7">
        <f t="shared" si="7"/>
        <v>18632.3</v>
      </c>
      <c r="G55" s="77"/>
      <c r="H55" s="79">
        <f t="shared" si="8"/>
        <v>0</v>
      </c>
    </row>
    <row r="56" spans="1:8" ht="29.1" customHeight="1" x14ac:dyDescent="0.3">
      <c r="A56" s="1" t="s">
        <v>92</v>
      </c>
      <c r="B56" s="2" t="s">
        <v>6</v>
      </c>
      <c r="C56" s="3" t="s">
        <v>93</v>
      </c>
      <c r="D56" s="4">
        <v>230</v>
      </c>
      <c r="E56" s="6">
        <f>ROUND(9.19*1.06,2)</f>
        <v>9.74</v>
      </c>
      <c r="F56" s="7">
        <f t="shared" si="7"/>
        <v>2240.1999999999998</v>
      </c>
      <c r="G56" s="77"/>
      <c r="H56" s="79">
        <f t="shared" si="8"/>
        <v>0</v>
      </c>
    </row>
    <row r="57" spans="1:8" ht="29.1" customHeight="1" x14ac:dyDescent="0.3">
      <c r="A57" s="1" t="s">
        <v>94</v>
      </c>
      <c r="B57" s="2" t="s">
        <v>6</v>
      </c>
      <c r="C57" s="3" t="s">
        <v>95</v>
      </c>
      <c r="D57" s="4">
        <v>230</v>
      </c>
      <c r="E57" s="6">
        <f>ROUND(5.82*1.06,2)</f>
        <v>6.17</v>
      </c>
      <c r="F57" s="7">
        <f t="shared" si="7"/>
        <v>1419.1</v>
      </c>
      <c r="G57" s="77"/>
      <c r="H57" s="79">
        <f t="shared" si="8"/>
        <v>0</v>
      </c>
    </row>
    <row r="58" spans="1:8" ht="29.1" customHeight="1" x14ac:dyDescent="0.3">
      <c r="A58" s="1" t="s">
        <v>96</v>
      </c>
      <c r="B58" s="2" t="s">
        <v>9</v>
      </c>
      <c r="C58" s="3" t="s">
        <v>97</v>
      </c>
      <c r="D58" s="4">
        <v>197</v>
      </c>
      <c r="E58" s="6">
        <f>ROUND(8.8*1.06,2)</f>
        <v>9.33</v>
      </c>
      <c r="F58" s="7">
        <f t="shared" si="7"/>
        <v>1838.01</v>
      </c>
      <c r="G58" s="77"/>
      <c r="H58" s="79">
        <f t="shared" si="8"/>
        <v>0</v>
      </c>
    </row>
    <row r="59" spans="1:8" ht="29.1" customHeight="1" x14ac:dyDescent="0.3">
      <c r="A59" s="1" t="s">
        <v>98</v>
      </c>
      <c r="B59" s="2" t="s">
        <v>6</v>
      </c>
      <c r="C59" s="3" t="s">
        <v>99</v>
      </c>
      <c r="D59" s="4">
        <v>3</v>
      </c>
      <c r="E59" s="6">
        <f>ROUND(264.06*1.06,2)</f>
        <v>279.89999999999998</v>
      </c>
      <c r="F59" s="7">
        <f t="shared" si="7"/>
        <v>839.7</v>
      </c>
      <c r="G59" s="77"/>
      <c r="H59" s="79">
        <f t="shared" si="8"/>
        <v>0</v>
      </c>
    </row>
    <row r="60" spans="1:8" ht="29.1" customHeight="1" x14ac:dyDescent="0.3">
      <c r="A60" s="1" t="s">
        <v>100</v>
      </c>
      <c r="B60" s="2" t="s">
        <v>48</v>
      </c>
      <c r="C60" s="3" t="s">
        <v>101</v>
      </c>
      <c r="D60" s="4">
        <v>37.35</v>
      </c>
      <c r="E60" s="6">
        <f>ROUND(66.63*1.06,2)</f>
        <v>70.63</v>
      </c>
      <c r="F60" s="7">
        <f t="shared" si="7"/>
        <v>2638.03</v>
      </c>
      <c r="G60" s="77"/>
      <c r="H60" s="79">
        <f t="shared" si="8"/>
        <v>0</v>
      </c>
    </row>
    <row r="61" spans="1:8" ht="29.1" customHeight="1" x14ac:dyDescent="0.3">
      <c r="A61" s="1" t="s">
        <v>102</v>
      </c>
      <c r="B61" s="2" t="s">
        <v>103</v>
      </c>
      <c r="C61" s="3" t="s">
        <v>104</v>
      </c>
      <c r="D61" s="4">
        <v>2868.75</v>
      </c>
      <c r="E61" s="6">
        <f>ROUND(1*1.06,2)</f>
        <v>1.06</v>
      </c>
      <c r="F61" s="7">
        <f t="shared" si="7"/>
        <v>3040.88</v>
      </c>
      <c r="G61" s="77"/>
      <c r="H61" s="79">
        <f t="shared" si="8"/>
        <v>0</v>
      </c>
    </row>
    <row r="62" spans="1:8" ht="29.1" customHeight="1" x14ac:dyDescent="0.3">
      <c r="A62" s="1" t="s">
        <v>105</v>
      </c>
      <c r="B62" s="2" t="s">
        <v>58</v>
      </c>
      <c r="C62" s="3" t="s">
        <v>106</v>
      </c>
      <c r="D62" s="4">
        <v>3</v>
      </c>
      <c r="E62" s="6">
        <f>ROUND(735*1.06,2)</f>
        <v>779.1</v>
      </c>
      <c r="F62" s="7">
        <f t="shared" si="7"/>
        <v>2337.3000000000002</v>
      </c>
      <c r="G62" s="77"/>
      <c r="H62" s="79">
        <f t="shared" si="8"/>
        <v>0</v>
      </c>
    </row>
    <row r="63" spans="1:8" ht="29.1" customHeight="1" x14ac:dyDescent="0.3">
      <c r="A63" s="1" t="s">
        <v>107</v>
      </c>
      <c r="B63" s="2" t="s">
        <v>58</v>
      </c>
      <c r="C63" s="3" t="s">
        <v>108</v>
      </c>
      <c r="D63" s="4">
        <v>3</v>
      </c>
      <c r="E63" s="6">
        <f>ROUND(2370*1.06,2)</f>
        <v>2512.1999999999998</v>
      </c>
      <c r="F63" s="7">
        <f t="shared" si="7"/>
        <v>7536.6</v>
      </c>
      <c r="G63" s="77"/>
      <c r="H63" s="79">
        <f t="shared" si="8"/>
        <v>0</v>
      </c>
    </row>
    <row r="64" spans="1:8" ht="29.1" customHeight="1" x14ac:dyDescent="0.3">
      <c r="A64" s="1" t="s">
        <v>109</v>
      </c>
      <c r="B64" s="2" t="s">
        <v>6</v>
      </c>
      <c r="C64" s="3" t="s">
        <v>110</v>
      </c>
      <c r="D64" s="4">
        <v>3</v>
      </c>
      <c r="E64" s="6">
        <f>ROUND(148.05*1.06,2)</f>
        <v>156.93</v>
      </c>
      <c r="F64" s="7">
        <f t="shared" si="7"/>
        <v>470.79</v>
      </c>
      <c r="G64" s="77"/>
      <c r="H64" s="79">
        <f t="shared" si="8"/>
        <v>0</v>
      </c>
    </row>
    <row r="65" spans="1:8" ht="29.1" customHeight="1" x14ac:dyDescent="0.3">
      <c r="A65" s="1" t="s">
        <v>111</v>
      </c>
      <c r="B65" s="2" t="s">
        <v>53</v>
      </c>
      <c r="C65" s="3" t="s">
        <v>112</v>
      </c>
      <c r="D65" s="4">
        <v>50</v>
      </c>
      <c r="E65" s="6">
        <f>ROUND(4.38*1.06,2)</f>
        <v>4.6399999999999997</v>
      </c>
      <c r="F65" s="7">
        <f t="shared" si="7"/>
        <v>232</v>
      </c>
      <c r="G65" s="77"/>
      <c r="H65" s="79">
        <f t="shared" si="8"/>
        <v>0</v>
      </c>
    </row>
    <row r="66" spans="1:8" ht="29.1" customHeight="1" x14ac:dyDescent="0.3">
      <c r="A66" s="1" t="s">
        <v>113</v>
      </c>
      <c r="B66" s="2" t="s">
        <v>58</v>
      </c>
      <c r="C66" s="3" t="s">
        <v>114</v>
      </c>
      <c r="D66" s="4">
        <v>1</v>
      </c>
      <c r="E66" s="6">
        <f>ROUND(2358.49*1.06,2)</f>
        <v>2500</v>
      </c>
      <c r="F66" s="7">
        <f t="shared" si="7"/>
        <v>2500</v>
      </c>
      <c r="G66" s="77"/>
      <c r="H66" s="79">
        <f t="shared" si="8"/>
        <v>0</v>
      </c>
    </row>
    <row r="67" spans="1:8" ht="29.1" customHeight="1" x14ac:dyDescent="0.3">
      <c r="A67" s="1" t="s">
        <v>115</v>
      </c>
      <c r="B67" s="2" t="s">
        <v>116</v>
      </c>
      <c r="C67" s="3" t="s">
        <v>117</v>
      </c>
      <c r="D67" s="4">
        <v>1</v>
      </c>
      <c r="E67" s="6">
        <f>ROUND(3301.89*1.06,2)</f>
        <v>3500</v>
      </c>
      <c r="F67" s="7">
        <f t="shared" si="7"/>
        <v>3500</v>
      </c>
      <c r="G67" s="78">
        <v>3500</v>
      </c>
      <c r="H67" s="79">
        <f t="shared" si="8"/>
        <v>3500</v>
      </c>
    </row>
    <row r="68" spans="1:8" s="73" customFormat="1" ht="24" customHeight="1" x14ac:dyDescent="0.25">
      <c r="A68" s="11" t="s">
        <v>118</v>
      </c>
      <c r="B68" s="12" t="s">
        <v>1</v>
      </c>
      <c r="C68" s="13" t="s">
        <v>119</v>
      </c>
      <c r="D68" s="14"/>
      <c r="E68" s="15"/>
      <c r="F68" s="14"/>
      <c r="G68" s="16"/>
      <c r="H68" s="17"/>
    </row>
    <row r="69" spans="1:8" ht="29.1" customHeight="1" x14ac:dyDescent="0.3">
      <c r="A69" s="1" t="s">
        <v>120</v>
      </c>
      <c r="B69" s="2" t="s">
        <v>6</v>
      </c>
      <c r="C69" s="3" t="s">
        <v>121</v>
      </c>
      <c r="D69" s="4">
        <v>16</v>
      </c>
      <c r="E69" s="6">
        <f>ROUND(114.43*1.06,2)</f>
        <v>121.3</v>
      </c>
      <c r="F69" s="7">
        <f>ROUND(D69*E69,2)</f>
        <v>1940.8</v>
      </c>
      <c r="G69" s="77"/>
      <c r="H69" s="79">
        <f t="shared" ref="H69:H70" si="9">ROUND(D69*G69,2)</f>
        <v>0</v>
      </c>
    </row>
    <row r="70" spans="1:8" ht="29.1" customHeight="1" x14ac:dyDescent="0.3">
      <c r="A70" s="1" t="s">
        <v>122</v>
      </c>
      <c r="B70" s="2" t="s">
        <v>6</v>
      </c>
      <c r="C70" s="3" t="s">
        <v>123</v>
      </c>
      <c r="D70" s="4">
        <v>26</v>
      </c>
      <c r="E70" s="6">
        <f>ROUND(137.04*1.06,2)</f>
        <v>145.26</v>
      </c>
      <c r="F70" s="7">
        <f>ROUND(D70*E70,2)</f>
        <v>3776.76</v>
      </c>
      <c r="G70" s="77"/>
      <c r="H70" s="79">
        <f t="shared" si="9"/>
        <v>0</v>
      </c>
    </row>
    <row r="71" spans="1:8" s="73" customFormat="1" ht="24" customHeight="1" x14ac:dyDescent="0.25">
      <c r="A71" s="11" t="s">
        <v>124</v>
      </c>
      <c r="B71" s="12" t="s">
        <v>1</v>
      </c>
      <c r="C71" s="13" t="s">
        <v>125</v>
      </c>
      <c r="D71" s="14"/>
      <c r="E71" s="15"/>
      <c r="F71" s="14"/>
      <c r="G71" s="82"/>
      <c r="H71" s="81"/>
    </row>
    <row r="72" spans="1:8" ht="29.1" customHeight="1" x14ac:dyDescent="0.3">
      <c r="A72" s="1" t="s">
        <v>126</v>
      </c>
      <c r="B72" s="2" t="s">
        <v>9</v>
      </c>
      <c r="C72" s="3" t="s">
        <v>127</v>
      </c>
      <c r="D72" s="4">
        <v>80</v>
      </c>
      <c r="E72" s="6">
        <f>ROUND(71.32*1.06,2)</f>
        <v>75.599999999999994</v>
      </c>
      <c r="F72" s="7">
        <f>ROUND(D72*E72,2)</f>
        <v>6048</v>
      </c>
      <c r="G72" s="77"/>
      <c r="H72" s="79">
        <f t="shared" ref="H72:H74" si="10">ROUND(D72*G72,2)</f>
        <v>0</v>
      </c>
    </row>
    <row r="73" spans="1:8" ht="29.1" customHeight="1" x14ac:dyDescent="0.3">
      <c r="A73" s="1" t="s">
        <v>128</v>
      </c>
      <c r="B73" s="2" t="s">
        <v>6</v>
      </c>
      <c r="C73" s="3" t="s">
        <v>129</v>
      </c>
      <c r="D73" s="4">
        <v>3</v>
      </c>
      <c r="E73" s="6">
        <f>ROUND(239.1*1.06,2)</f>
        <v>253.45</v>
      </c>
      <c r="F73" s="7">
        <f>ROUND(D73*E73,2)</f>
        <v>760.35</v>
      </c>
      <c r="G73" s="77"/>
      <c r="H73" s="79">
        <f t="shared" si="10"/>
        <v>0</v>
      </c>
    </row>
    <row r="74" spans="1:8" ht="29.1" customHeight="1" x14ac:dyDescent="0.3">
      <c r="A74" s="1" t="s">
        <v>130</v>
      </c>
      <c r="B74" s="2" t="s">
        <v>9</v>
      </c>
      <c r="C74" s="3" t="s">
        <v>131</v>
      </c>
      <c r="D74" s="4">
        <v>45</v>
      </c>
      <c r="E74" s="6">
        <f>ROUND(20.19*1.06,2)</f>
        <v>21.4</v>
      </c>
      <c r="F74" s="7">
        <f>ROUND(D74*E74,2)</f>
        <v>963</v>
      </c>
      <c r="G74" s="77"/>
      <c r="H74" s="79">
        <f t="shared" si="10"/>
        <v>0</v>
      </c>
    </row>
    <row r="75" spans="1:8" s="73" customFormat="1" ht="24" customHeight="1" x14ac:dyDescent="0.25">
      <c r="A75" s="11" t="s">
        <v>132</v>
      </c>
      <c r="B75" s="12" t="s">
        <v>1</v>
      </c>
      <c r="C75" s="13" t="s">
        <v>133</v>
      </c>
      <c r="D75" s="14"/>
      <c r="E75" s="15"/>
      <c r="F75" s="14"/>
      <c r="G75" s="82"/>
      <c r="H75" s="81"/>
    </row>
    <row r="76" spans="1:8" ht="29.1" customHeight="1" x14ac:dyDescent="0.3">
      <c r="A76" s="1" t="s">
        <v>134</v>
      </c>
      <c r="B76" s="2" t="s">
        <v>9</v>
      </c>
      <c r="C76" s="3" t="s">
        <v>135</v>
      </c>
      <c r="D76" s="4">
        <v>184</v>
      </c>
      <c r="E76" s="6">
        <f>ROUND(7.48*1.06,2)</f>
        <v>7.93</v>
      </c>
      <c r="F76" s="7">
        <f>ROUND(D76*E76,2)</f>
        <v>1459.12</v>
      </c>
      <c r="G76" s="77"/>
      <c r="H76" s="79">
        <f t="shared" ref="H76:H77" si="11">ROUND(D76*G76,2)</f>
        <v>0</v>
      </c>
    </row>
    <row r="77" spans="1:8" ht="29.1" customHeight="1" thickBot="1" x14ac:dyDescent="0.35">
      <c r="A77" s="1" t="s">
        <v>136</v>
      </c>
      <c r="B77" s="2" t="s">
        <v>6</v>
      </c>
      <c r="C77" s="3" t="s">
        <v>137</v>
      </c>
      <c r="D77" s="4">
        <v>4</v>
      </c>
      <c r="E77" s="6">
        <f>ROUND(176.28*1.06,2)</f>
        <v>186.86</v>
      </c>
      <c r="F77" s="7">
        <f>ROUND(D77*E77,2)</f>
        <v>747.44</v>
      </c>
      <c r="G77" s="77"/>
      <c r="H77" s="79">
        <f t="shared" si="11"/>
        <v>0</v>
      </c>
    </row>
    <row r="78" spans="1:8" ht="28.95" customHeight="1" thickBot="1" x14ac:dyDescent="0.35">
      <c r="A78" s="24" t="s">
        <v>138</v>
      </c>
      <c r="B78" s="25" t="s">
        <v>1</v>
      </c>
      <c r="C78" s="26" t="s">
        <v>139</v>
      </c>
      <c r="D78" s="39">
        <v>1</v>
      </c>
      <c r="E78" s="39">
        <f>SUM(F79:F80)</f>
        <v>1177.5</v>
      </c>
      <c r="F78" s="40">
        <f>E78*D78</f>
        <v>1177.5</v>
      </c>
      <c r="G78" s="39">
        <f>SUM(H79:H80)</f>
        <v>0</v>
      </c>
      <c r="H78" s="41">
        <f>G78*D78</f>
        <v>0</v>
      </c>
    </row>
    <row r="79" spans="1:8" ht="29.1" customHeight="1" x14ac:dyDescent="0.3">
      <c r="A79" s="1" t="s">
        <v>140</v>
      </c>
      <c r="B79" s="2" t="s">
        <v>9</v>
      </c>
      <c r="C79" s="3" t="s">
        <v>141</v>
      </c>
      <c r="D79" s="4">
        <v>50</v>
      </c>
      <c r="E79" s="6">
        <f>ROUND(2.52*1.06,2)</f>
        <v>2.67</v>
      </c>
      <c r="F79" s="7">
        <f>ROUND(D79*E79,2)</f>
        <v>133.5</v>
      </c>
      <c r="G79" s="77"/>
      <c r="H79" s="79">
        <f t="shared" ref="H79:H80" si="12">ROUND(D79*G79,2)</f>
        <v>0</v>
      </c>
    </row>
    <row r="80" spans="1:8" ht="29.1" customHeight="1" thickBot="1" x14ac:dyDescent="0.35">
      <c r="A80" s="1" t="s">
        <v>142</v>
      </c>
      <c r="B80" s="2" t="s">
        <v>143</v>
      </c>
      <c r="C80" s="3" t="s">
        <v>144</v>
      </c>
      <c r="D80" s="4">
        <v>600</v>
      </c>
      <c r="E80" s="6">
        <f>ROUND(1.64*1.06,2)</f>
        <v>1.74</v>
      </c>
      <c r="F80" s="7">
        <f>ROUND(D80*E80,2)</f>
        <v>1044</v>
      </c>
      <c r="G80" s="77"/>
      <c r="H80" s="79">
        <f t="shared" si="12"/>
        <v>0</v>
      </c>
    </row>
    <row r="81" spans="1:8" ht="28.95" customHeight="1" thickBot="1" x14ac:dyDescent="0.35">
      <c r="A81" s="24" t="s">
        <v>145</v>
      </c>
      <c r="B81" s="25" t="s">
        <v>1</v>
      </c>
      <c r="C81" s="26" t="s">
        <v>146</v>
      </c>
      <c r="D81" s="27">
        <v>1</v>
      </c>
      <c r="E81" s="39">
        <f>SUM(F82:F85)</f>
        <v>21306.34</v>
      </c>
      <c r="F81" s="40">
        <f>E81*D81</f>
        <v>21306.34</v>
      </c>
      <c r="G81" s="39">
        <f>SUM(H82:H85)</f>
        <v>0</v>
      </c>
      <c r="H81" s="41">
        <f>G81*D81</f>
        <v>0</v>
      </c>
    </row>
    <row r="82" spans="1:8" ht="29.1" customHeight="1" x14ac:dyDescent="0.3">
      <c r="A82" s="1" t="s">
        <v>147</v>
      </c>
      <c r="B82" s="2" t="s">
        <v>6</v>
      </c>
      <c r="C82" s="3" t="s">
        <v>148</v>
      </c>
      <c r="D82" s="4">
        <v>145</v>
      </c>
      <c r="E82" s="6">
        <f>ROUND(97.94*1.06,2)</f>
        <v>103.82</v>
      </c>
      <c r="F82" s="7">
        <f>ROUND(D82*E82,2)</f>
        <v>15053.9</v>
      </c>
      <c r="G82" s="77"/>
      <c r="H82" s="79">
        <f t="shared" ref="H82:H85" si="13">ROUND(D82*G82,2)</f>
        <v>0</v>
      </c>
    </row>
    <row r="83" spans="1:8" ht="29.1" customHeight="1" x14ac:dyDescent="0.3">
      <c r="A83" s="1" t="s">
        <v>149</v>
      </c>
      <c r="B83" s="2" t="s">
        <v>150</v>
      </c>
      <c r="C83" s="3" t="s">
        <v>151</v>
      </c>
      <c r="D83" s="4">
        <v>517.20000000000005</v>
      </c>
      <c r="E83" s="6">
        <f>ROUND(12.6*1.06,2)</f>
        <v>13.36</v>
      </c>
      <c r="F83" s="7">
        <f>ROUND(D83*E83,2)</f>
        <v>6909.79</v>
      </c>
      <c r="G83" s="77"/>
      <c r="H83" s="79">
        <f t="shared" si="13"/>
        <v>0</v>
      </c>
    </row>
    <row r="84" spans="1:8" ht="29.1" customHeight="1" x14ac:dyDescent="0.3">
      <c r="A84" s="1" t="s">
        <v>152</v>
      </c>
      <c r="B84" s="2" t="s">
        <v>9</v>
      </c>
      <c r="C84" s="3" t="s">
        <v>153</v>
      </c>
      <c r="D84" s="4">
        <v>170</v>
      </c>
      <c r="E84" s="6">
        <f>ROUND(1.71*1.06,2)</f>
        <v>1.81</v>
      </c>
      <c r="F84" s="7">
        <f>ROUND(D84*E84,2)</f>
        <v>307.7</v>
      </c>
      <c r="G84" s="77"/>
      <c r="H84" s="79">
        <f t="shared" si="13"/>
        <v>0</v>
      </c>
    </row>
    <row r="85" spans="1:8" ht="29.1" customHeight="1" thickBot="1" x14ac:dyDescent="0.35">
      <c r="A85" s="1" t="s">
        <v>154</v>
      </c>
      <c r="B85" s="2" t="s">
        <v>150</v>
      </c>
      <c r="C85" s="3" t="s">
        <v>155</v>
      </c>
      <c r="D85" s="4">
        <v>9.25</v>
      </c>
      <c r="E85" s="6">
        <f>ROUND(-98.42*1.06,2)</f>
        <v>-104.33</v>
      </c>
      <c r="F85" s="7">
        <f>ROUND(D85*E85,2)</f>
        <v>-965.05</v>
      </c>
      <c r="G85" s="77"/>
      <c r="H85" s="79">
        <f t="shared" si="13"/>
        <v>0</v>
      </c>
    </row>
    <row r="86" spans="1:8" ht="28.95" customHeight="1" thickBot="1" x14ac:dyDescent="0.35">
      <c r="A86" s="24" t="s">
        <v>156</v>
      </c>
      <c r="B86" s="25" t="s">
        <v>1</v>
      </c>
      <c r="C86" s="26" t="s">
        <v>157</v>
      </c>
      <c r="D86" s="27">
        <v>1</v>
      </c>
      <c r="E86" s="39">
        <v>0</v>
      </c>
      <c r="F86" s="40">
        <f>E86*D86</f>
        <v>0</v>
      </c>
      <c r="G86" s="39">
        <v>0</v>
      </c>
      <c r="H86" s="41">
        <f>D86*F86</f>
        <v>0</v>
      </c>
    </row>
    <row r="87" spans="1:8" ht="27.75" customHeight="1" thickBot="1" x14ac:dyDescent="0.35">
      <c r="A87" s="28"/>
      <c r="B87" s="29"/>
      <c r="C87" s="30" t="s">
        <v>180</v>
      </c>
      <c r="D87" s="45">
        <v>1</v>
      </c>
      <c r="E87" s="48">
        <f>F6+F27+F41+F78+F81+F86</f>
        <v>198658.12</v>
      </c>
      <c r="F87" s="49">
        <f>D87*E87</f>
        <v>198658.12</v>
      </c>
      <c r="G87" s="48">
        <f>H6+H27+H41+H78+H81+H86</f>
        <v>3500</v>
      </c>
      <c r="H87" s="49">
        <f>G87*D87</f>
        <v>3500</v>
      </c>
    </row>
    <row r="88" spans="1:8" ht="27" customHeight="1" x14ac:dyDescent="0.3">
      <c r="A88" s="31"/>
      <c r="B88" s="32" t="s">
        <v>181</v>
      </c>
      <c r="C88" s="50" t="s">
        <v>182</v>
      </c>
      <c r="D88" s="35">
        <v>1</v>
      </c>
      <c r="E88" s="36">
        <v>0.13</v>
      </c>
      <c r="F88" s="42">
        <f>F87*E88</f>
        <v>25825.56</v>
      </c>
      <c r="G88" s="75"/>
      <c r="H88" s="44">
        <f>H87*G88</f>
        <v>0</v>
      </c>
    </row>
    <row r="89" spans="1:8" ht="27" customHeight="1" thickBot="1" x14ac:dyDescent="0.35">
      <c r="A89" s="33"/>
      <c r="B89" s="34"/>
      <c r="C89" s="51" t="s">
        <v>183</v>
      </c>
      <c r="D89" s="37">
        <v>1</v>
      </c>
      <c r="E89" s="38">
        <v>0.06</v>
      </c>
      <c r="F89" s="43">
        <f>F87*E89</f>
        <v>11919.49</v>
      </c>
      <c r="G89" s="76"/>
      <c r="H89" s="43">
        <f>H87*G89</f>
        <v>0</v>
      </c>
    </row>
    <row r="90" spans="1:8" ht="31.5" customHeight="1" thickBot="1" x14ac:dyDescent="0.35">
      <c r="A90" s="52"/>
      <c r="B90" s="46"/>
      <c r="C90" s="53" t="s">
        <v>195</v>
      </c>
      <c r="D90" s="54"/>
      <c r="E90" s="55"/>
      <c r="F90" s="83">
        <f>F87+F88+F89</f>
        <v>236403.17</v>
      </c>
      <c r="G90" s="56"/>
      <c r="H90" s="83">
        <f>H87+H88+H89</f>
        <v>3500</v>
      </c>
    </row>
    <row r="91" spans="1:8" ht="31.5" customHeight="1" x14ac:dyDescent="0.3">
      <c r="A91" s="57"/>
      <c r="B91" s="58"/>
      <c r="C91" s="69" t="s">
        <v>196</v>
      </c>
      <c r="D91" s="59"/>
      <c r="E91" s="60"/>
      <c r="F91" s="61">
        <f>F90*0.21</f>
        <v>49644.67</v>
      </c>
      <c r="G91" s="67"/>
      <c r="H91" s="61">
        <f>H90*0.21</f>
        <v>735</v>
      </c>
    </row>
    <row r="92" spans="1:8" ht="31.5" customHeight="1" thickBot="1" x14ac:dyDescent="0.35">
      <c r="A92" s="62"/>
      <c r="B92" s="63"/>
      <c r="C92" s="70" t="s">
        <v>197</v>
      </c>
      <c r="D92" s="64"/>
      <c r="E92" s="65"/>
      <c r="F92" s="66">
        <f>F91+F90</f>
        <v>286047.84000000003</v>
      </c>
      <c r="G92" s="68"/>
      <c r="H92" s="66">
        <f>H91+H90</f>
        <v>4235</v>
      </c>
    </row>
    <row r="93" spans="1:8" ht="13.5" customHeight="1" thickBot="1" x14ac:dyDescent="0.35">
      <c r="A93" s="47"/>
      <c r="B93" s="105"/>
      <c r="C93" s="105"/>
      <c r="D93" s="105"/>
      <c r="E93" s="105"/>
      <c r="F93" s="105"/>
      <c r="G93" s="105"/>
      <c r="H93" s="105"/>
    </row>
    <row r="94" spans="1:8" ht="90" customHeight="1" thickBot="1" x14ac:dyDescent="0.35">
      <c r="A94" s="88" t="s">
        <v>184</v>
      </c>
      <c r="B94" s="89"/>
      <c r="C94" s="84"/>
      <c r="D94" s="71" t="s">
        <v>185</v>
      </c>
      <c r="E94" s="106"/>
      <c r="F94" s="107"/>
      <c r="G94" s="107"/>
      <c r="H94" s="108"/>
    </row>
    <row r="95" spans="1:8" ht="90" customHeight="1" thickBot="1" x14ac:dyDescent="0.35">
      <c r="A95" s="88" t="s">
        <v>186</v>
      </c>
      <c r="B95" s="89"/>
      <c r="C95" s="85"/>
      <c r="D95" s="71" t="s">
        <v>187</v>
      </c>
      <c r="E95" s="90"/>
      <c r="F95" s="91"/>
      <c r="G95" s="91"/>
      <c r="H95" s="92"/>
    </row>
    <row r="96" spans="1:8" ht="90" customHeight="1" thickBot="1" x14ac:dyDescent="0.35">
      <c r="A96" s="88" t="s">
        <v>188</v>
      </c>
      <c r="B96" s="89"/>
      <c r="C96" s="86"/>
      <c r="D96" s="71" t="s">
        <v>189</v>
      </c>
      <c r="E96" s="90"/>
      <c r="F96" s="91"/>
      <c r="G96" s="91"/>
      <c r="H96" s="92"/>
    </row>
    <row r="97" spans="1:8" x14ac:dyDescent="0.3">
      <c r="A97" s="9"/>
      <c r="B97" s="9"/>
      <c r="C97" s="10"/>
      <c r="D97" s="9"/>
      <c r="E97" s="9"/>
      <c r="F97" s="9"/>
      <c r="G97" s="9"/>
      <c r="H97" s="9"/>
    </row>
    <row r="98" spans="1:8" ht="37.5" customHeight="1" x14ac:dyDescent="0.3">
      <c r="A98" s="110" t="s">
        <v>190</v>
      </c>
      <c r="B98" s="110"/>
      <c r="C98" s="109" t="s">
        <v>199</v>
      </c>
      <c r="D98" s="109"/>
      <c r="E98" s="109"/>
      <c r="F98" s="109"/>
      <c r="G98" s="109"/>
      <c r="H98" s="109"/>
    </row>
    <row r="99" spans="1:8" ht="45" customHeight="1" x14ac:dyDescent="0.3">
      <c r="A99" s="110"/>
      <c r="B99" s="110"/>
      <c r="C99" s="109" t="s">
        <v>191</v>
      </c>
      <c r="D99" s="109"/>
      <c r="E99" s="109"/>
      <c r="F99" s="109"/>
      <c r="G99" s="109"/>
      <c r="H99" s="109"/>
    </row>
    <row r="100" spans="1:8" ht="37.200000000000003" customHeight="1" x14ac:dyDescent="0.3">
      <c r="A100" s="110"/>
      <c r="B100" s="110"/>
      <c r="C100" s="109" t="s">
        <v>200</v>
      </c>
      <c r="D100" s="109"/>
      <c r="E100" s="109"/>
      <c r="F100" s="109"/>
      <c r="G100" s="109"/>
      <c r="H100" s="109"/>
    </row>
    <row r="101" spans="1:8" ht="48.75" customHeight="1" x14ac:dyDescent="0.3">
      <c r="A101" s="110"/>
      <c r="B101" s="110"/>
      <c r="C101" s="109" t="s">
        <v>192</v>
      </c>
      <c r="D101" s="109"/>
      <c r="E101" s="109"/>
      <c r="F101" s="109"/>
      <c r="G101" s="109"/>
      <c r="H101" s="109"/>
    </row>
    <row r="102" spans="1:8" ht="36.6" customHeight="1" x14ac:dyDescent="0.3">
      <c r="A102" s="110"/>
      <c r="B102" s="110"/>
      <c r="C102" s="109" t="s">
        <v>201</v>
      </c>
      <c r="D102" s="109"/>
      <c r="E102" s="109"/>
      <c r="F102" s="109"/>
      <c r="G102" s="109"/>
      <c r="H102" s="109"/>
    </row>
    <row r="103" spans="1:8" ht="15.6" x14ac:dyDescent="0.3">
      <c r="C103"/>
      <c r="D103" s="87"/>
      <c r="E103" s="87"/>
      <c r="F103" s="87"/>
      <c r="G103" s="87"/>
      <c r="H103" s="87"/>
    </row>
  </sheetData>
  <sheetProtection algorithmName="SHA-512" hashValue="ji/0WS3lyp39z7sOYUvHfle92JQQbiR6Qs5HYCpd0h8mag7IuXRCz7+vNMEkxqnc/nGsDhdFBM02VoaKs/A+ig==" saltValue="q7OvDt6gWQPaAdk1eyBJfw==" spinCount="100000" sheet="1" objects="1" scenarios="1"/>
  <mergeCells count="20">
    <mergeCell ref="C98:H98"/>
    <mergeCell ref="C99:H99"/>
    <mergeCell ref="C100:H100"/>
    <mergeCell ref="C101:H101"/>
    <mergeCell ref="A98:B102"/>
    <mergeCell ref="C102:H102"/>
    <mergeCell ref="A96:B96"/>
    <mergeCell ref="E96:H96"/>
    <mergeCell ref="A1:H1"/>
    <mergeCell ref="A2:C2"/>
    <mergeCell ref="D2:H2"/>
    <mergeCell ref="D3:H3"/>
    <mergeCell ref="A4:C4"/>
    <mergeCell ref="D4:F4"/>
    <mergeCell ref="G4:H4"/>
    <mergeCell ref="B93:H93"/>
    <mergeCell ref="A94:B94"/>
    <mergeCell ref="E94:H94"/>
    <mergeCell ref="A95:B95"/>
    <mergeCell ref="E95:H95"/>
  </mergeCells>
  <conditionalFormatting sqref="H8">
    <cfRule type="cellIs" dxfId="19" priority="31" operator="greaterThan">
      <formula>F8</formula>
    </cfRule>
  </conditionalFormatting>
  <conditionalFormatting sqref="H9">
    <cfRule type="cellIs" dxfId="18" priority="30" operator="greaterThan">
      <formula>F9</formula>
    </cfRule>
  </conditionalFormatting>
  <conditionalFormatting sqref="H10">
    <cfRule type="cellIs" dxfId="17" priority="29" operator="greaterThan">
      <formula>F10</formula>
    </cfRule>
  </conditionalFormatting>
  <conditionalFormatting sqref="H12:H26">
    <cfRule type="cellIs" dxfId="16" priority="28" operator="greaterThan">
      <formula>F12</formula>
    </cfRule>
  </conditionalFormatting>
  <conditionalFormatting sqref="H29">
    <cfRule type="cellIs" dxfId="15" priority="27" operator="greaterThan">
      <formula>F29</formula>
    </cfRule>
  </conditionalFormatting>
  <conditionalFormatting sqref="H30:H33">
    <cfRule type="cellIs" dxfId="14" priority="26" operator="greaterThan">
      <formula>F30</formula>
    </cfRule>
  </conditionalFormatting>
  <conditionalFormatting sqref="H35:H40">
    <cfRule type="cellIs" dxfId="13" priority="25" operator="greaterThan">
      <formula>F35</formula>
    </cfRule>
  </conditionalFormatting>
  <conditionalFormatting sqref="H43:H51">
    <cfRule type="cellIs" dxfId="12" priority="24" operator="greaterThan">
      <formula>F43</formula>
    </cfRule>
  </conditionalFormatting>
  <conditionalFormatting sqref="H53:H67">
    <cfRule type="cellIs" dxfId="11" priority="23" operator="greaterThan">
      <formula>F53</formula>
    </cfRule>
  </conditionalFormatting>
  <conditionalFormatting sqref="H69:H70">
    <cfRule type="cellIs" dxfId="10" priority="22" operator="greaterThan">
      <formula>F69</formula>
    </cfRule>
  </conditionalFormatting>
  <conditionalFormatting sqref="H72:H74">
    <cfRule type="cellIs" dxfId="9" priority="21" operator="greaterThan">
      <formula>F72</formula>
    </cfRule>
  </conditionalFormatting>
  <conditionalFormatting sqref="H76:H77">
    <cfRule type="cellIs" dxfId="8" priority="20" operator="greaterThan">
      <formula>F76</formula>
    </cfRule>
  </conditionalFormatting>
  <conditionalFormatting sqref="H79:H80">
    <cfRule type="cellIs" dxfId="7" priority="19" operator="greaterThan">
      <formula>F79</formula>
    </cfRule>
  </conditionalFormatting>
  <conditionalFormatting sqref="H82:H84">
    <cfRule type="cellIs" dxfId="6" priority="18" operator="greaterThan">
      <formula>F82</formula>
    </cfRule>
  </conditionalFormatting>
  <conditionalFormatting sqref="H6">
    <cfRule type="cellIs" dxfId="5" priority="11" operator="greaterThan">
      <formula>F6</formula>
    </cfRule>
  </conditionalFormatting>
  <conditionalFormatting sqref="H41">
    <cfRule type="cellIs" dxfId="4" priority="4" operator="greaterThan">
      <formula>F41</formula>
    </cfRule>
  </conditionalFormatting>
  <conditionalFormatting sqref="H81">
    <cfRule type="cellIs" dxfId="3" priority="2" operator="greaterThan">
      <formula>F81</formula>
    </cfRule>
  </conditionalFormatting>
  <conditionalFormatting sqref="H86">
    <cfRule type="cellIs" dxfId="2" priority="1" operator="greaterThan">
      <formula>F86</formula>
    </cfRule>
  </conditionalFormatting>
  <conditionalFormatting sqref="H27">
    <cfRule type="cellIs" dxfId="1" priority="5" operator="greaterThan">
      <formula>F27</formula>
    </cfRule>
  </conditionalFormatting>
  <conditionalFormatting sqref="H78">
    <cfRule type="cellIs" dxfId="0" priority="3" operator="greaterThan">
      <formula>F78</formula>
    </cfRule>
  </conditionalFormatting>
  <pageMargins left="0.70866141732283472" right="0.70866141732283472" top="0.74803149606299213" bottom="0.74803149606299213" header="0.31496062992125984" footer="0.31496062992125984"/>
  <pageSetup paperSize="9" scale="44" orientation="portrait" r:id="rId1"/>
  <ignoredErrors>
    <ignoredError sqref="H81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CUADRO DE OFERTA</vt:lpstr>
      <vt:lpstr>'CUADRO DE OFERTA'!Área_de_impresión</vt:lpstr>
      <vt:lpstr>'CUADRO DE OFERTA'!Títulos_a_imprimir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Zapata Fernández, Miguel Ángel</dc:creator>
  <cp:lastModifiedBy>Zapata Fernández, Miguel Ángel</cp:lastModifiedBy>
  <cp:lastPrinted>2019-04-22T10:18:14Z</cp:lastPrinted>
  <dcterms:created xsi:type="dcterms:W3CDTF">2019-03-25T09:35:40Z</dcterms:created>
  <dcterms:modified xsi:type="dcterms:W3CDTF">2019-08-23T11:49:59Z</dcterms:modified>
</cp:coreProperties>
</file>