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Y:\Tecnicos\INGENIERÍA\L04\VI.18.005 DIAG-PSTAMARIA-SLORENZO\2.OBRA\1.LICITACIÓN\"/>
    </mc:Choice>
  </mc:AlternateContent>
  <bookViews>
    <workbookView xWindow="0" yWindow="0" windowWidth="7476" windowHeight="4884"/>
  </bookViews>
  <sheets>
    <sheet name="Hoja1" sheetId="1" r:id="rId1"/>
  </sheets>
  <calcPr calcId="162913" fullPrecision="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5" i="1" l="1"/>
  <c r="F94" i="1"/>
  <c r="E50" i="1" l="1"/>
  <c r="E10" i="1"/>
  <c r="E5" i="1"/>
  <c r="E6" i="1"/>
  <c r="E7" i="1"/>
  <c r="E8" i="1"/>
  <c r="E9" i="1"/>
  <c r="E15" i="1"/>
  <c r="E16" i="1"/>
  <c r="E20" i="1"/>
  <c r="E21" i="1"/>
  <c r="E22" i="1"/>
  <c r="E23" i="1"/>
  <c r="E24" i="1"/>
  <c r="E25" i="1"/>
  <c r="E26" i="1"/>
  <c r="E27" i="1"/>
  <c r="E34" i="1"/>
  <c r="E35" i="1"/>
  <c r="E36" i="1"/>
  <c r="E37" i="1"/>
  <c r="E38" i="1"/>
  <c r="E39" i="1"/>
  <c r="E40" i="1"/>
  <c r="E41" i="1"/>
  <c r="E42" i="1"/>
  <c r="E43" i="1"/>
  <c r="E44" i="1"/>
  <c r="E45" i="1"/>
  <c r="E51" i="1"/>
  <c r="E55" i="1"/>
  <c r="E59" i="1"/>
  <c r="E60" i="1"/>
  <c r="E61" i="1"/>
  <c r="E66" i="1"/>
  <c r="E67" i="1"/>
  <c r="E68" i="1"/>
  <c r="E72" i="1"/>
  <c r="E78" i="1"/>
  <c r="E79" i="1"/>
  <c r="E80" i="1"/>
  <c r="E84" i="1"/>
  <c r="E85" i="1"/>
  <c r="E86" i="1"/>
  <c r="E87" i="1"/>
  <c r="H44" i="1"/>
  <c r="F86" i="1"/>
  <c r="F85" i="1"/>
  <c r="F84" i="1"/>
  <c r="H43" i="1"/>
  <c r="F9" i="1"/>
  <c r="F8" i="1"/>
  <c r="F7" i="1"/>
  <c r="F6" i="1"/>
  <c r="F5" i="1"/>
  <c r="F4" i="1"/>
  <c r="F11" i="1"/>
  <c r="F17" i="1"/>
  <c r="F19" i="1"/>
  <c r="F28" i="1"/>
  <c r="F30" i="1"/>
  <c r="F33" i="1"/>
  <c r="F47" i="1"/>
  <c r="F54" i="1"/>
  <c r="F56" i="1"/>
  <c r="F58" i="1"/>
  <c r="F73" i="1"/>
  <c r="F69" i="1"/>
  <c r="F63" i="1"/>
  <c r="F14" i="1"/>
  <c r="E17" i="1"/>
  <c r="E14" i="1" s="1"/>
  <c r="F46" i="1"/>
  <c r="H45" i="1"/>
  <c r="G62" i="1"/>
  <c r="H51" i="1"/>
  <c r="H50" i="1"/>
  <c r="H6" i="1" l="1"/>
  <c r="H5" i="1"/>
  <c r="H87" i="1"/>
  <c r="H86" i="1"/>
  <c r="H85" i="1"/>
  <c r="H84" i="1"/>
  <c r="H80" i="1"/>
  <c r="H79" i="1"/>
  <c r="H78" i="1"/>
  <c r="H72" i="1"/>
  <c r="G73" i="1" s="1"/>
  <c r="H73" i="1" s="1"/>
  <c r="H68" i="1"/>
  <c r="H67" i="1"/>
  <c r="H66" i="1"/>
  <c r="H62" i="1"/>
  <c r="H61" i="1"/>
  <c r="H60" i="1"/>
  <c r="H59" i="1"/>
  <c r="H55" i="1"/>
  <c r="G46" i="1"/>
  <c r="H46" i="1" s="1"/>
  <c r="H42" i="1"/>
  <c r="H41" i="1"/>
  <c r="H40" i="1"/>
  <c r="H39" i="1"/>
  <c r="H38" i="1"/>
  <c r="H37" i="1"/>
  <c r="H36" i="1"/>
  <c r="H35" i="1"/>
  <c r="H34" i="1"/>
  <c r="H27" i="1"/>
  <c r="H26" i="1"/>
  <c r="H25" i="1"/>
  <c r="H24" i="1"/>
  <c r="H23" i="1"/>
  <c r="H22" i="1"/>
  <c r="H21" i="1"/>
  <c r="H20" i="1"/>
  <c r="H16" i="1"/>
  <c r="H15" i="1"/>
  <c r="G10" i="1"/>
  <c r="H10" i="1" s="1"/>
  <c r="H9" i="1"/>
  <c r="H8" i="1"/>
  <c r="H7" i="1"/>
  <c r="F80" i="1"/>
  <c r="F72" i="1"/>
  <c r="E73" i="1" s="1"/>
  <c r="F68" i="1"/>
  <c r="F67" i="1"/>
  <c r="F66" i="1"/>
  <c r="E62" i="1"/>
  <c r="F62" i="1" s="1"/>
  <c r="F61" i="1"/>
  <c r="F60" i="1"/>
  <c r="E46" i="1"/>
  <c r="F45" i="1"/>
  <c r="F44" i="1"/>
  <c r="F41" i="1"/>
  <c r="F40" i="1"/>
  <c r="F37" i="1"/>
  <c r="F36" i="1"/>
  <c r="F27" i="1"/>
  <c r="F26" i="1"/>
  <c r="F23" i="1"/>
  <c r="F22" i="1"/>
  <c r="F15" i="1"/>
  <c r="F10" i="1"/>
  <c r="F90" i="1"/>
  <c r="D83" i="1"/>
  <c r="D77" i="1"/>
  <c r="F79" i="1"/>
  <c r="F78" i="1"/>
  <c r="D32" i="1"/>
  <c r="D71" i="1"/>
  <c r="D65" i="1"/>
  <c r="D58" i="1"/>
  <c r="F59" i="1"/>
  <c r="D54" i="1"/>
  <c r="F55" i="1"/>
  <c r="D49" i="1"/>
  <c r="F51" i="1"/>
  <c r="F50" i="1"/>
  <c r="D33" i="1"/>
  <c r="F43" i="1"/>
  <c r="F42" i="1"/>
  <c r="F39" i="1"/>
  <c r="F38" i="1"/>
  <c r="F35" i="1"/>
  <c r="F34" i="1"/>
  <c r="D13" i="1"/>
  <c r="D19" i="1"/>
  <c r="F25" i="1"/>
  <c r="F24" i="1"/>
  <c r="F21" i="1"/>
  <c r="F20" i="1"/>
  <c r="E28" i="1" s="1"/>
  <c r="D14" i="1"/>
  <c r="F16" i="1"/>
  <c r="D4" i="1"/>
  <c r="G11" i="1" l="1"/>
  <c r="H11" i="1" s="1"/>
  <c r="G56" i="1"/>
  <c r="H56" i="1" s="1"/>
  <c r="H54" i="1" s="1"/>
  <c r="G47" i="1"/>
  <c r="G17" i="1"/>
  <c r="G28" i="1"/>
  <c r="G69" i="1"/>
  <c r="H69" i="1" s="1"/>
  <c r="H65" i="1" s="1"/>
  <c r="H90" i="1"/>
  <c r="E47" i="1"/>
  <c r="G52" i="1"/>
  <c r="H52" i="1" s="1"/>
  <c r="H49" i="1" s="1"/>
  <c r="G63" i="1"/>
  <c r="G81" i="1"/>
  <c r="E11" i="1"/>
  <c r="E52" i="1"/>
  <c r="E56" i="1"/>
  <c r="E54" i="1" s="1"/>
  <c r="G71" i="1"/>
  <c r="E81" i="1"/>
  <c r="F81" i="1" s="1"/>
  <c r="F77" i="1" s="1"/>
  <c r="E69" i="1"/>
  <c r="F65" i="1" s="1"/>
  <c r="E63" i="1"/>
  <c r="E58" i="1" s="1"/>
  <c r="F71" i="1"/>
  <c r="E71" i="1"/>
  <c r="G19" i="1" l="1"/>
  <c r="H28" i="1"/>
  <c r="H19" i="1" s="1"/>
  <c r="G14" i="1"/>
  <c r="H17" i="1"/>
  <c r="H14" i="1" s="1"/>
  <c r="F52" i="1"/>
  <c r="F49" i="1" s="1"/>
  <c r="G54" i="1"/>
  <c r="G4" i="1"/>
  <c r="H63" i="1"/>
  <c r="H58" i="1" s="1"/>
  <c r="G58" i="1"/>
  <c r="G33" i="1"/>
  <c r="H47" i="1"/>
  <c r="H33" i="1" s="1"/>
  <c r="H4" i="1"/>
  <c r="H81" i="1"/>
  <c r="H77" i="1" s="1"/>
  <c r="G77" i="1"/>
  <c r="F12" i="1"/>
  <c r="E4" i="1"/>
  <c r="E49" i="1"/>
  <c r="G49" i="1"/>
  <c r="G65" i="1"/>
  <c r="H71" i="1"/>
  <c r="E30" i="1"/>
  <c r="E77" i="1"/>
  <c r="E65" i="1"/>
  <c r="E33" i="1"/>
  <c r="E19" i="1"/>
  <c r="G75" i="1" l="1"/>
  <c r="G32" i="1" s="1"/>
  <c r="G30" i="1"/>
  <c r="G13" i="1" s="1"/>
  <c r="H12" i="1"/>
  <c r="E13" i="1"/>
  <c r="F13" i="1"/>
  <c r="E75" i="1"/>
  <c r="F87" i="1"/>
  <c r="E32" i="1" l="1"/>
  <c r="F75" i="1"/>
  <c r="F32" i="1" s="1"/>
  <c r="H75" i="1"/>
  <c r="H32" i="1" s="1"/>
  <c r="E88" i="1"/>
  <c r="F88" i="1" s="1"/>
  <c r="F83" i="1" s="1"/>
  <c r="G88" i="1"/>
  <c r="G83" i="1" s="1"/>
  <c r="E83" i="1" l="1"/>
  <c r="H30" i="1"/>
  <c r="H13" i="1" s="1"/>
  <c r="E91" i="1"/>
  <c r="H88" i="1"/>
  <c r="F91" i="1" l="1"/>
  <c r="F93" i="1" s="1"/>
  <c r="F92" i="1"/>
  <c r="H83" i="1"/>
  <c r="G91" i="1" s="1"/>
  <c r="H91" i="1" s="1"/>
  <c r="H92" i="1" l="1"/>
  <c r="F96" i="1"/>
  <c r="H93" i="1" l="1"/>
  <c r="H94" i="1" s="1"/>
  <c r="H95" i="1" s="1"/>
  <c r="H96" i="1" s="1"/>
</calcChain>
</file>

<file path=xl/comments1.xml><?xml version="1.0" encoding="utf-8"?>
<comments xmlns="http://schemas.openxmlformats.org/spreadsheetml/2006/main">
  <authors>
    <author>Pérez Monje, David</author>
    <author>Zapata Fernández, Miguel Ángel</author>
  </authors>
  <commentList>
    <comment ref="A3" authorId="0" shapeId="0">
      <text>
        <r>
          <rPr>
            <b/>
            <sz val="9"/>
            <color indexed="81"/>
            <rFont val="Tahoma"/>
            <family val="2"/>
          </rPr>
          <t>Código del concepto. Ver colores en "Entorno de trabajo: Apariencia"</t>
        </r>
      </text>
    </comment>
    <comment ref="B3" authorId="0" shapeId="0">
      <text>
        <r>
          <rPr>
            <b/>
            <sz val="9"/>
            <color indexed="81"/>
            <rFont val="Tahoma"/>
            <family val="2"/>
          </rPr>
          <t>Unidad principal de medida del concepto</t>
        </r>
      </text>
    </comment>
    <comment ref="C3" authorId="0" shapeId="0">
      <text>
        <r>
          <rPr>
            <b/>
            <sz val="9"/>
            <color indexed="81"/>
            <rFont val="Tahoma"/>
            <family val="2"/>
          </rPr>
          <t>Descripción corta</t>
        </r>
      </text>
    </comment>
    <comment ref="D3" authorId="0" shapeId="0">
      <text>
        <r>
          <rPr>
            <b/>
            <sz val="9"/>
            <color indexed="81"/>
            <rFont val="Tahoma"/>
            <family val="2"/>
          </rPr>
          <t>Rendimiento o cantidad presupuestada</t>
        </r>
      </text>
    </comment>
    <comment ref="E3" authorId="0" shapeId="0">
      <text>
        <r>
          <rPr>
            <b/>
            <sz val="9"/>
            <color indexed="81"/>
            <rFont val="Tahoma"/>
            <family val="2"/>
          </rPr>
          <t>Precio unitario en el presupuesto</t>
        </r>
      </text>
    </comment>
    <comment ref="F3" authorId="0" shapeId="0">
      <text>
        <r>
          <rPr>
            <b/>
            <sz val="9"/>
            <color indexed="81"/>
            <rFont val="Tahoma"/>
            <family val="2"/>
          </rPr>
          <t>Importe del presupuesto</t>
        </r>
      </text>
    </comment>
    <comment ref="H3" authorId="0" shapeId="0">
      <text>
        <r>
          <rPr>
            <b/>
            <sz val="9"/>
            <color indexed="81"/>
            <rFont val="Tahoma"/>
            <family val="2"/>
          </rPr>
          <t>Importe del presupuesto</t>
        </r>
      </text>
    </comment>
    <comment ref="A97" authorId="1" shapeId="0">
      <text>
        <r>
          <rPr>
            <b/>
            <sz val="12"/>
            <color indexed="81"/>
            <rFont val="Calibri"/>
            <family val="2"/>
            <scheme val="minor"/>
          </rPr>
          <t>RELLENE ESTE APARTADO</t>
        </r>
      </text>
    </comment>
    <comment ref="D97" authorId="1" shapeId="0">
      <text>
        <r>
          <rPr>
            <b/>
            <sz val="12"/>
            <color indexed="81"/>
            <rFont val="Calibri"/>
            <family val="2"/>
            <scheme val="minor"/>
          </rPr>
          <t>RELLENE ESTE APARTADO</t>
        </r>
      </text>
    </comment>
    <comment ref="A98" authorId="1" shapeId="0">
      <text>
        <r>
          <rPr>
            <b/>
            <sz val="12"/>
            <color indexed="81"/>
            <rFont val="Calibri"/>
            <family val="2"/>
            <scheme val="minor"/>
          </rPr>
          <t>RELLENE ESTE APARTADO</t>
        </r>
      </text>
    </comment>
    <comment ref="D98" authorId="1" shapeId="0">
      <text>
        <r>
          <rPr>
            <b/>
            <sz val="12"/>
            <color indexed="81"/>
            <rFont val="Calibri"/>
            <family val="2"/>
            <scheme val="minor"/>
          </rPr>
          <t>RELLENE ESTE APARTADO</t>
        </r>
      </text>
    </comment>
    <comment ref="A99" authorId="1" shapeId="0">
      <text>
        <r>
          <rPr>
            <b/>
            <sz val="12"/>
            <color indexed="81"/>
            <rFont val="Calibri"/>
            <family val="2"/>
            <scheme val="minor"/>
          </rPr>
          <t>RELLENE ESTE APARTADO</t>
        </r>
      </text>
    </comment>
    <comment ref="D99" authorId="1" shapeId="0">
      <text>
        <r>
          <rPr>
            <b/>
            <sz val="12"/>
            <color indexed="81"/>
            <rFont val="Calibri"/>
            <family val="2"/>
            <scheme val="minor"/>
          </rPr>
          <t>RELLENE ESTE APARTADO</t>
        </r>
      </text>
    </comment>
  </commentList>
</comments>
</file>

<file path=xl/sharedStrings.xml><?xml version="1.0" encoding="utf-8"?>
<sst xmlns="http://schemas.openxmlformats.org/spreadsheetml/2006/main" count="226" uniqueCount="169">
  <si>
    <t>Código</t>
  </si>
  <si>
    <t>Ud</t>
  </si>
  <si>
    <t>Resumen</t>
  </si>
  <si>
    <t>01</t>
  </si>
  <si>
    <t/>
  </si>
  <si>
    <t>TRABAJOS PREVIOS Y AUXILIARES</t>
  </si>
  <si>
    <t>01.01</t>
  </si>
  <si>
    <t>m</t>
  </si>
  <si>
    <t>TOMA DE DATOS CON CARRO MEDIDOR. JORNADA 2:30 - 5:00 A.M.</t>
  </si>
  <si>
    <t>01.02</t>
  </si>
  <si>
    <t>ud</t>
  </si>
  <si>
    <t>REVISIÓN COMPLETA DEL ESTADO ACTUAL DE LAS INSTALACIONES DEL POZO DE VENTILACIÓN</t>
  </si>
  <si>
    <t>01.03</t>
  </si>
  <si>
    <t>ELEMENTOS DE SEÑALIZACIÓN Y PROTECCIÓN PARA C.G.M.P. DE VENTILADORES Y OTROS COMPONENTES</t>
  </si>
  <si>
    <t>01.04</t>
  </si>
  <si>
    <t>REVISIÓN, LIMPIEZA, ENGRASE Y PUESTA A PUNTO DE EQUIPOS DE VENTILACIÓN Y ELEMENTOS AUXILIARES</t>
  </si>
  <si>
    <t>01.05</t>
  </si>
  <si>
    <t>REVISIÓN COMPLETA DEL ESTADO FINAL DE LAS INSTALACIONES DEL POZO DE VENTILACIÓN, REALIZACIÓN DE PRUEBAS Y PUESTA EN SERVICIO</t>
  </si>
  <si>
    <t>01.06</t>
  </si>
  <si>
    <t>PA</t>
  </si>
  <si>
    <t>PARTIDA ALZADA PARA ADECUACIÓN DE ZONAS ADYACENTES Y ACTUACIONES EN INSTALACIONES</t>
  </si>
  <si>
    <t>Total 01</t>
  </si>
  <si>
    <t>02</t>
  </si>
  <si>
    <t>DESMONTAJES, DESGUARNECIDOS, DESGRAVADOS Y DEMOLICIONES</t>
  </si>
  <si>
    <t>02.01</t>
  </si>
  <si>
    <t>DESMONTAJE DE APARATOS Y VÍA</t>
  </si>
  <si>
    <t>02.01.01</t>
  </si>
  <si>
    <t>DESMONTAJE DE CARRIL Y JUNTAS DE VÍA DOBLE. JORNADA 2:30 - 5:00 A.M.</t>
  </si>
  <si>
    <t>02.01.02</t>
  </si>
  <si>
    <t>DESMONTAJE DIAGONAL DE GÁLIBO ESTRECHO COMPLETA. JORNADA 2:30 - 5:00 A.M.</t>
  </si>
  <si>
    <t>Total 02.01</t>
  </si>
  <si>
    <t>02.02</t>
  </si>
  <si>
    <t>DEMOLICIONES, DESGUARNECIDOS Y DESGRAVADOS</t>
  </si>
  <si>
    <t>02.02.01</t>
  </si>
  <si>
    <t>PICADO/CAJEADO HASTIAL HUECO MOTORES</t>
  </si>
  <si>
    <t>02.02.02</t>
  </si>
  <si>
    <t>m3</t>
  </si>
  <si>
    <t>DESGUARNECIDO Y DESGRAVADO DE VÍA DOBLE SOBRE BALASTO. JORNADA 2:30 - 5:00 A.M.</t>
  </si>
  <si>
    <t>02.02.03</t>
  </si>
  <si>
    <t>DESMONTAJE ARQUETA DE SEÑALIZACIÓN. JORNADA 2:30 - 5:00 A.M.</t>
  </si>
  <si>
    <t>02.02.04</t>
  </si>
  <si>
    <t>EXTRACCIÓN DE TACO RÍGIDO MEDIANTE PICADO Y REMATE CON MORTERO. JORNADA 2:30 - 5:00 A.M.</t>
  </si>
  <si>
    <t>02.02.05</t>
  </si>
  <si>
    <t>EXTRACCIÓN DE TACO ELÁSTICO (DADO Y CAZOLETA). JORNADA 2:30 - 5:00 A.M.</t>
  </si>
  <si>
    <t>02.02.06</t>
  </si>
  <si>
    <t>CORTE CON DISCO DE SOLERA DE HORMIGÓN. JORNADA 2:30 - 5:00 A.M.</t>
  </si>
  <si>
    <t>02.02.07</t>
  </si>
  <si>
    <t>DEMOLICIÓN Y DESGRAVADO LOSAS Y SOLERAS HORMIGÓN CON P.P. DE TACOS. JORNADA 2:30 - 5:00 A.M.</t>
  </si>
  <si>
    <t>02.02.08</t>
  </si>
  <si>
    <t>RETIRADA, CARGA Y TRANSPORTE DE ESCOMBROS A DEPÓSITO. JORNADA 2:30 - 5:00 A.M.</t>
  </si>
  <si>
    <t>Total 02.02</t>
  </si>
  <si>
    <t>Total 02</t>
  </si>
  <si>
    <t>03</t>
  </si>
  <si>
    <t>MONTAJE DE VÍA Y FORMACIÓN DE PLATAFORMA</t>
  </si>
  <si>
    <t>03.01</t>
  </si>
  <si>
    <t>MONTAJE DE APARATOS Y VÍA</t>
  </si>
  <si>
    <t>03.01.01</t>
  </si>
  <si>
    <t>CARGA, TRANSPORTE Y DESCARGA DE DIAGONAL DE GÁLIBO ESTRECHO. JORNADA 2:30 - 5:00 A.M.</t>
  </si>
  <si>
    <t>03.01.02</t>
  </si>
  <si>
    <t>MONTAJE DE DIAGONAL ELÁSTICA PARA ENTREVÍA DE 1400MM. MONTAJE BOTTOM-UP. JORNADA 2:30 - 5:00 A.M.</t>
  </si>
  <si>
    <t>03.01.03</t>
  </si>
  <si>
    <t>SUMINISTRO DE CARRIL 54E1</t>
  </si>
  <si>
    <t>03.01.04</t>
  </si>
  <si>
    <t>SUMINISTRO JA DE 6 M, TIPO IVG DE 30º, PARA CARRIL 54E1</t>
  </si>
  <si>
    <t>03.01.05</t>
  </si>
  <si>
    <t>CARGA, TRANSPORTE Y DESCARGA DE JUNTAS Y CARRIL EN VÍA DOBLE. JORNADA 2:30 - 5:00 A.M.</t>
  </si>
  <si>
    <t>03.01.06</t>
  </si>
  <si>
    <t>MONTAJE Y ENGRAPADO DE CARRIL DE VÍA DOBLE. JORNADA 2:30 - 5:00 A.M.</t>
  </si>
  <si>
    <t>03.01.07</t>
  </si>
  <si>
    <t>MONTAJE JA DE 6 M, TIPO IVG DE 30º, PARA CARRIL 54 O 60E1. JORNADA 2:30 - 5:00 A.M.</t>
  </si>
  <si>
    <t>03.01.08</t>
  </si>
  <si>
    <t>CONEXIONADO DE CARRIL O JA PARA SEÑALES. JORNADA 2:30 - 5:00 A.M.</t>
  </si>
  <si>
    <t>03.01.09</t>
  </si>
  <si>
    <t>SUMINISTRO PLACA DE FIJACIÓN DIRECTA DFF/ADH CON SKL-3 O EQUIVALENTE PARA CARRIL 54E1 PARA MONTAJE BOTTOM-UP</t>
  </si>
  <si>
    <t>03.01.10</t>
  </si>
  <si>
    <t>CARGA, TRANSPORTE Y DESCARGA DE TACOS/PLACAS EN VÍA DOBLE. JORNADA 2:30 - 5:00 A.M.</t>
  </si>
  <si>
    <t>03.01.11</t>
  </si>
  <si>
    <t>MONTAJE DE PLACA DE FIJACION DIRECTA DFF/ADH O EQUIVALENTE CON MONTAJE BOTTOM-UP EN SUPERFICIE PREPARADA. JORNADA 2:30 - 5:00 A.</t>
  </si>
  <si>
    <t>03.01.12</t>
  </si>
  <si>
    <t>FORMACIÓN DE DADO DE MORTERO PARA INSTALACIÓN DE PLACA EN HUECO DE TACO. JORNADA 2:30 - 5:00 A.M.</t>
  </si>
  <si>
    <t>03.01.13</t>
  </si>
  <si>
    <t>PARTIDA ALZADA INSTALACIONES Y ELEMENTOS DE OBRA CIVIL. A JUSTIFICAR</t>
  </si>
  <si>
    <t>Total 03.01</t>
  </si>
  <si>
    <t>03.02</t>
  </si>
  <si>
    <t>SOLDADURAS</t>
  </si>
  <si>
    <t>03.02.01</t>
  </si>
  <si>
    <t>EJECUCIÓN DE SOLDADURA ALUMINOTÉRMICA EN CARRIL 54E1 O 60E1. JORNADA 2:30 - 5:00 A.M.</t>
  </si>
  <si>
    <t>03.02.02</t>
  </si>
  <si>
    <t>EJECUCIÓN DE SOLDADURA ALUMINOTÉRMICA EN CARRIL CON CC O INTERNA DE APARATOS DE VÍA. JORNADA 2:30 - 5:00 A.M.</t>
  </si>
  <si>
    <t>Total 03.02</t>
  </si>
  <si>
    <t>03.03</t>
  </si>
  <si>
    <t>HORMIGONADO Y BALASTADO</t>
  </si>
  <si>
    <t>03.03.01</t>
  </si>
  <si>
    <t>HORMIGÓN ARMADO HA / HM-25/20/B IIA O HA / HM-25/20/F/IIA DE CENTRAL CON BOMBEO EN VÍA DOBLE. JORNADA 2:30 - 5:00 A.M.</t>
  </si>
  <si>
    <t>Total 03.03</t>
  </si>
  <si>
    <t>03.04</t>
  </si>
  <si>
    <t>SANEAMIENTO Y DRENAJE</t>
  </si>
  <si>
    <t>03.04.01</t>
  </si>
  <si>
    <t>SUM. Y MONTAJE DE REJILLA METÁLICA DE 1000X300 MM PARA CANAL CENTRAL CON CERCO. JORNADA 2:30 - 5:00 A.M.</t>
  </si>
  <si>
    <t>03.04.02</t>
  </si>
  <si>
    <t>EJECUCIÓN ARQUETA DE PASO DE 51X51X60 CM, A HORMIGONAR. JORNADA 2:30 - 5:00 A.M.</t>
  </si>
  <si>
    <t>03.04.03</t>
  </si>
  <si>
    <t>DRENAJE SUBTERRÁNEO. JORNADA 2:30 - 5:00 A.M.</t>
  </si>
  <si>
    <t>03.04.04</t>
  </si>
  <si>
    <t>PARTIDA ALZADA ACTUACIONES RELACIONADAS CON EL SANEAMIENTO Y DRENAJE. A JUSTIFICAR</t>
  </si>
  <si>
    <t>Total 03.04</t>
  </si>
  <si>
    <t>03.05</t>
  </si>
  <si>
    <t>ALINEACIÓN Y NIVELACIÓN</t>
  </si>
  <si>
    <t>03.05.01</t>
  </si>
  <si>
    <t>ALINEACIÓN Y NIVELACIÓN AUXILIAR DE DIAGONAL. JORNADA 2:30 - 5:00 A.M.</t>
  </si>
  <si>
    <t>03.05.02</t>
  </si>
  <si>
    <t>ALINEACIÓN Y NIVELACIÓN CON CARRO DE VÍA SENCILLA. JORNADA 2:30 - 5:00 A.M.</t>
  </si>
  <si>
    <t>03.05.03</t>
  </si>
  <si>
    <t>MEJORA DE LA ALINEACIÓN, ANCHO DE VÍA, NIVELACIÓN Y PERALTE CON CARRO DE VÍA SENCILLA. JORNADA 2:30 - 5:00 A.M.</t>
  </si>
  <si>
    <t>Total 03.05</t>
  </si>
  <si>
    <t>03.06</t>
  </si>
  <si>
    <t>INDICADORES, PIQUETES Y MARCAJES</t>
  </si>
  <si>
    <t>03.06.01</t>
  </si>
  <si>
    <t>PLACA KILOMÉTRICA POR DECÁMETROS CON DESLIZADERA DE NIVELACIÓN. JORNADA 2:30 - 5:00 A.M.</t>
  </si>
  <si>
    <t>Total 03.06</t>
  </si>
  <si>
    <t>Total 03</t>
  </si>
  <si>
    <t>04</t>
  </si>
  <si>
    <t>LIMPIEZA Y DESATRANCOS</t>
  </si>
  <si>
    <t>04.01</t>
  </si>
  <si>
    <t>LIMPIEZA FINAL DE LA ZONA DE OBRAS. JORNADA 2:30 - 5:00 A.M.</t>
  </si>
  <si>
    <t>04.02</t>
  </si>
  <si>
    <t>DESATRANCO/LIMPIEZA DE DRENAJE SUBTERRÁNEO. JORNADA 2:30 - 5:00 A.M.</t>
  </si>
  <si>
    <t>04.03</t>
  </si>
  <si>
    <t>LIMPIEZA DE PLACAS DE KILOMETRAJE/ PIQUETES O SIMILARES. JORNADA 2:30 - 5:00 A.M.</t>
  </si>
  <si>
    <t>Total 04</t>
  </si>
  <si>
    <t>05</t>
  </si>
  <si>
    <t>GESTIÓN DE MEDIOAMBIENTE</t>
  </si>
  <si>
    <t>05.01</t>
  </si>
  <si>
    <t>CONTENEDOR DE 6 M3 Y TRANSPORTE A VERTEDERO</t>
  </si>
  <si>
    <t>05.02</t>
  </si>
  <si>
    <t>t</t>
  </si>
  <si>
    <t>COSTE DE GESTIÓN DE ESCOMBROS DE CONSTRUCCIÓN</t>
  </si>
  <si>
    <t>05.03</t>
  </si>
  <si>
    <t>CARGA Y TRANSPORTE DE CHATARRA FÉRRICA A GESTOR DE RESIDUOS</t>
  </si>
  <si>
    <t>05.04</t>
  </si>
  <si>
    <t>COSTE DE GESTIÓN DE CHATARRA FÉRRICA</t>
  </si>
  <si>
    <t>Total 05</t>
  </si>
  <si>
    <t>06</t>
  </si>
  <si>
    <t>SEGURIDAD Y SALUD</t>
  </si>
  <si>
    <t>CANT</t>
  </si>
  <si>
    <t>PREC</t>
  </si>
  <si>
    <t>IMP</t>
  </si>
  <si>
    <t xml:space="preserve">BASE IMPONIBLE </t>
  </si>
  <si>
    <t>TOTAL PRESUPUESTO DE EJECUCIÓN MATERIAL</t>
  </si>
  <si>
    <t xml:space="preserve"> </t>
  </si>
  <si>
    <t xml:space="preserve"> % GASTOS GENERALES</t>
  </si>
  <si>
    <t xml:space="preserve"> % BENEFICIOS INDUSTRIALES</t>
  </si>
  <si>
    <t>IMPORTE OFERTA SIN I.V.A.</t>
  </si>
  <si>
    <t>IMPORTE DEL I.V.A.</t>
  </si>
  <si>
    <t>IMPORTE OFERTA CON I.V.A.</t>
  </si>
  <si>
    <t>NOMBRE EMPRESA /
RAZÓN SOCIAL</t>
  </si>
  <si>
    <t>FECHA</t>
  </si>
  <si>
    <t>DOMICILIO FISCAL</t>
  </si>
  <si>
    <t>SELLO</t>
  </si>
  <si>
    <t>CIF</t>
  </si>
  <si>
    <t>FIRMA</t>
  </si>
  <si>
    <t>NOTAS</t>
  </si>
  <si>
    <r>
      <rPr>
        <b/>
        <i/>
        <sz val="9"/>
        <color rgb="FFFF0000"/>
        <rFont val="Calibri"/>
        <family val="2"/>
        <scheme val="minor"/>
      </rPr>
      <t>*</t>
    </r>
    <r>
      <rPr>
        <b/>
        <i/>
        <sz val="9"/>
        <color theme="1"/>
        <rFont val="Calibri"/>
        <family val="2"/>
        <scheme val="minor"/>
      </rPr>
      <t xml:space="preserve">  El importe de las partidas alzadas no podrá verse modificado en la oferta presentada respecto al importe de licitación.</t>
    </r>
  </si>
  <si>
    <r>
      <rPr>
        <b/>
        <i/>
        <sz val="9"/>
        <color rgb="FFFF0000"/>
        <rFont val="Calibri"/>
        <family val="2"/>
        <scheme val="minor"/>
      </rPr>
      <t xml:space="preserve">** </t>
    </r>
    <r>
      <rPr>
        <b/>
        <i/>
        <sz val="9"/>
        <color theme="1"/>
        <rFont val="Calibri"/>
        <family val="2"/>
        <scheme val="minor"/>
      </rPr>
      <t>El precio ofertado en cada una de las unidades no puede superar el precio unitario de licitación, a excepción del importe correspondiente al capítulo de Seguridad y Salud que solo podrá modificarse según R.D. 1627/97.   </t>
    </r>
  </si>
  <si>
    <t xml:space="preserve">RENOVACIÓN DE DIAGONAL EN LÍNEA 4 ENTRE LAS ESTACIONES DE PARQUE DE SANTA MARÍA Y SAN LORENZO </t>
  </si>
  <si>
    <t>IMPORTE DE LA OFERTA</t>
  </si>
  <si>
    <r>
      <rPr>
        <b/>
        <i/>
        <sz val="9"/>
        <color rgb="FFFF0000"/>
        <rFont val="Calibri"/>
        <family val="2"/>
        <scheme val="minor"/>
      </rPr>
      <t>****</t>
    </r>
    <r>
      <rPr>
        <b/>
        <i/>
        <sz val="9"/>
        <color theme="1"/>
        <rFont val="Calibri"/>
        <family val="2"/>
        <scheme val="minor"/>
      </rPr>
      <t>El sumatorio del total correspondiente a la celda presupuesto total de la oferta no puede superar el valor del presupuesto total de licitación.</t>
    </r>
  </si>
  <si>
    <r>
      <rPr>
        <b/>
        <i/>
        <sz val="9"/>
        <color rgb="FFFF0000"/>
        <rFont val="Calibri"/>
        <family val="2"/>
        <scheme val="minor"/>
      </rPr>
      <t xml:space="preserve">*** </t>
    </r>
    <r>
      <rPr>
        <b/>
        <i/>
        <sz val="9"/>
        <color theme="1"/>
        <rFont val="Calibri"/>
        <family val="2"/>
        <scheme val="minor"/>
      </rPr>
      <t>El precio ofertado en la unidad COSTE DE GESTIÓN DE CHATARRA FÉRRICA, no podrá ser superior al precio unitario de licitación.</t>
    </r>
  </si>
  <si>
    <r>
      <t xml:space="preserve">***** </t>
    </r>
    <r>
      <rPr>
        <b/>
        <i/>
        <sz val="9"/>
        <color theme="1"/>
        <rFont val="Calibri"/>
        <family val="2"/>
        <scheme val="minor"/>
      </rPr>
      <t>El importe de la celda “IMPORTE OFERTA SIN I.V.A.” debe incluir el importe correspondiente a las celdas “Beneficio industrial” y “Gastos Generales”, no siendo válidas las ofertas que no tengan todas las celdas mencionadas anteriormente debidamente cumplimentadas. En caso de que las celdas mencionadas anteriormente no estén debidamente cumplimentadas, es decir, se encuentren en blanco, la oferta será excluida del procedimiento.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</si>
</sst>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 &quot;€&quot;"/>
    <numFmt numFmtId="165" formatCode="[$-F800]dddd\,\ mmmm\ dd\,\ yyyy"/>
  </numFmts>
  <fonts count="28" x14ac:knownFonts="1">
    <font>
      <sz val="11"/>
      <color theme="1"/>
      <name val="Calibri"/>
      <family val="2"/>
      <scheme val="minor"/>
    </font>
    <font>
      <b/>
      <sz val="11"/>
      <color theme="1"/>
      <name val="Calibri"/>
      <family val="2"/>
      <scheme val="minor"/>
    </font>
    <font>
      <b/>
      <sz val="10"/>
      <color theme="1"/>
      <name val="Calibri"/>
      <family val="2"/>
      <scheme val="minor"/>
    </font>
    <font>
      <b/>
      <sz val="14"/>
      <color theme="1"/>
      <name val="Calibri"/>
      <family val="2"/>
      <scheme val="minor"/>
    </font>
    <font>
      <b/>
      <sz val="9"/>
      <color indexed="81"/>
      <name val="Tahoma"/>
      <family val="2"/>
    </font>
    <font>
      <b/>
      <i/>
      <sz val="10"/>
      <color theme="1"/>
      <name val="Calibri"/>
      <family val="2"/>
      <scheme val="minor"/>
    </font>
    <font>
      <b/>
      <sz val="8"/>
      <color theme="1"/>
      <name val="Calibri"/>
      <family val="2"/>
      <scheme val="minor"/>
    </font>
    <font>
      <b/>
      <sz val="8"/>
      <color rgb="FFFF00FF"/>
      <name val="Calibri"/>
      <family val="2"/>
      <scheme val="minor"/>
    </font>
    <font>
      <sz val="8"/>
      <color theme="1"/>
      <name val="Calibri"/>
      <family val="2"/>
      <scheme val="minor"/>
    </font>
    <font>
      <sz val="11"/>
      <color theme="1"/>
      <name val="Calibri"/>
      <family val="2"/>
      <scheme val="minor"/>
    </font>
    <font>
      <b/>
      <sz val="10"/>
      <color rgb="FF0070C0"/>
      <name val="Calibri"/>
      <family val="2"/>
      <scheme val="minor"/>
    </font>
    <font>
      <b/>
      <sz val="9"/>
      <color rgb="FF0070C0"/>
      <name val="Calibri"/>
      <family val="2"/>
      <scheme val="minor"/>
    </font>
    <font>
      <b/>
      <sz val="8"/>
      <color rgb="FF0070C0"/>
      <name val="Calibri"/>
      <family val="2"/>
      <scheme val="minor"/>
    </font>
    <font>
      <sz val="12"/>
      <color rgb="FF0070C0"/>
      <name val="Calibri"/>
      <family val="2"/>
      <scheme val="minor"/>
    </font>
    <font>
      <b/>
      <sz val="13"/>
      <color rgb="FF0070C0"/>
      <name val="Calibri"/>
      <family val="2"/>
      <scheme val="minor"/>
    </font>
    <font>
      <b/>
      <sz val="14"/>
      <name val="Calibri"/>
      <family val="2"/>
      <scheme val="minor"/>
    </font>
    <font>
      <b/>
      <sz val="16"/>
      <color rgb="FF0070C0"/>
      <name val="Calibri"/>
      <family val="2"/>
      <scheme val="minor"/>
    </font>
    <font>
      <b/>
      <sz val="12"/>
      <name val="Calibri"/>
      <family val="2"/>
      <scheme val="minor"/>
    </font>
    <font>
      <b/>
      <sz val="15"/>
      <color rgb="FF0070C0"/>
      <name val="Calibri"/>
      <family val="2"/>
      <scheme val="minor"/>
    </font>
    <font>
      <b/>
      <sz val="12"/>
      <color rgb="FF0070C0"/>
      <name val="Calibri"/>
      <family val="2"/>
      <scheme val="minor"/>
    </font>
    <font>
      <b/>
      <sz val="14"/>
      <color rgb="FF0070C0"/>
      <name val="Calibri"/>
      <family val="2"/>
      <scheme val="minor"/>
    </font>
    <font>
      <b/>
      <sz val="12"/>
      <color theme="1"/>
      <name val="Calibri"/>
      <family val="2"/>
      <scheme val="minor"/>
    </font>
    <font>
      <b/>
      <i/>
      <sz val="9"/>
      <color theme="1"/>
      <name val="Calibri"/>
      <family val="2"/>
      <scheme val="minor"/>
    </font>
    <font>
      <b/>
      <i/>
      <sz val="9"/>
      <color rgb="FFFF0000"/>
      <name val="Calibri"/>
      <family val="2"/>
      <scheme val="minor"/>
    </font>
    <font>
      <b/>
      <sz val="12"/>
      <color indexed="81"/>
      <name val="Calibri"/>
      <family val="2"/>
      <scheme val="minor"/>
    </font>
    <font>
      <b/>
      <sz val="8"/>
      <color theme="4" tint="-0.249977111117893"/>
      <name val="Calibri"/>
      <family val="2"/>
      <scheme val="minor"/>
    </font>
    <font>
      <b/>
      <sz val="8"/>
      <name val="Calibri"/>
      <family val="2"/>
      <scheme val="minor"/>
    </font>
    <font>
      <sz val="8"/>
      <name val="Calibri"/>
      <family val="2"/>
      <scheme val="minor"/>
    </font>
  </fonts>
  <fills count="11">
    <fill>
      <patternFill patternType="none"/>
    </fill>
    <fill>
      <patternFill patternType="gray125"/>
    </fill>
    <fill>
      <patternFill patternType="solid">
        <fgColor rgb="FFB4CBE0"/>
        <bgColor indexed="64"/>
      </patternFill>
    </fill>
    <fill>
      <patternFill patternType="solid">
        <fgColor rgb="FFF0F0F0"/>
        <bgColor indexed="64"/>
      </patternFill>
    </fill>
    <fill>
      <patternFill patternType="solid">
        <fgColor rgb="FFC0C0C0"/>
        <bgColor indexed="64"/>
      </patternFill>
    </fill>
    <fill>
      <patternFill patternType="solid">
        <fgColor rgb="FFC2D5E7"/>
        <bgColor indexed="64"/>
      </patternFill>
    </fill>
    <fill>
      <patternFill patternType="solid">
        <fgColor theme="0"/>
        <bgColor indexed="64"/>
      </patternFill>
    </fill>
    <fill>
      <patternFill patternType="solid">
        <fgColor theme="4" tint="0.79998168889431442"/>
        <bgColor indexed="64"/>
      </patternFill>
    </fill>
    <fill>
      <patternFill patternType="solid">
        <fgColor theme="4" tint="0.59999389629810485"/>
        <bgColor indexed="64"/>
      </patternFill>
    </fill>
    <fill>
      <patternFill patternType="lightGray">
        <fgColor indexed="26"/>
        <bgColor theme="0" tint="-0.14999847407452621"/>
      </patternFill>
    </fill>
    <fill>
      <patternFill patternType="solid">
        <fgColor theme="5" tint="-0.249977111117893"/>
        <bgColor indexed="64"/>
      </patternFill>
    </fill>
  </fills>
  <borders count="27">
    <border>
      <left/>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auto="1"/>
      </top>
      <bottom style="thin">
        <color auto="1"/>
      </bottom>
      <diagonal/>
    </border>
  </borders>
  <cellStyleXfs count="2">
    <xf numFmtId="0" fontId="0" fillId="0" borderId="0"/>
    <xf numFmtId="9" fontId="9" fillId="0" borderId="0" applyFont="0" applyFill="0" applyBorder="0" applyAlignment="0" applyProtection="0"/>
  </cellStyleXfs>
  <cellXfs count="104">
    <xf numFmtId="0" fontId="0" fillId="0" borderId="0" xfId="0"/>
    <xf numFmtId="4" fontId="7" fillId="6" borderId="0" xfId="0" applyNumberFormat="1" applyFont="1" applyFill="1" applyAlignment="1">
      <alignment vertical="top"/>
    </xf>
    <xf numFmtId="0" fontId="8" fillId="0" borderId="1" xfId="0" applyFont="1" applyBorder="1" applyAlignment="1">
      <alignment vertical="top"/>
    </xf>
    <xf numFmtId="0" fontId="8" fillId="0" borderId="2" xfId="0" applyFont="1" applyBorder="1" applyAlignment="1">
      <alignment vertical="top"/>
    </xf>
    <xf numFmtId="49" fontId="6" fillId="0" borderId="3" xfId="0" applyNumberFormat="1" applyFont="1" applyBorder="1" applyAlignment="1">
      <alignment vertical="top" wrapText="1"/>
    </xf>
    <xf numFmtId="3" fontId="8" fillId="0" borderId="4" xfId="0" applyNumberFormat="1" applyFont="1" applyBorder="1" applyAlignment="1">
      <alignment horizontal="center" vertical="center"/>
    </xf>
    <xf numFmtId="4" fontId="6" fillId="0" borderId="3" xfId="0" applyNumberFormat="1" applyFont="1" applyBorder="1" applyAlignment="1">
      <alignment horizontal="center" vertical="center"/>
    </xf>
    <xf numFmtId="0" fontId="10" fillId="6" borderId="5" xfId="0" applyFont="1" applyFill="1" applyBorder="1" applyAlignment="1" applyProtection="1">
      <alignment horizontal="center" vertical="center"/>
    </xf>
    <xf numFmtId="0" fontId="10" fillId="6" borderId="6" xfId="0" applyFont="1" applyFill="1" applyBorder="1" applyAlignment="1" applyProtection="1">
      <alignment horizontal="center" vertical="center"/>
    </xf>
    <xf numFmtId="9" fontId="11" fillId="6" borderId="7" xfId="0" applyNumberFormat="1" applyFont="1" applyFill="1" applyBorder="1" applyAlignment="1" applyProtection="1">
      <alignment vertical="center" wrapText="1"/>
    </xf>
    <xf numFmtId="4" fontId="12" fillId="6" borderId="8" xfId="0" applyNumberFormat="1" applyFont="1" applyFill="1" applyBorder="1" applyAlignment="1" applyProtection="1">
      <alignment horizontal="center" vertical="center"/>
    </xf>
    <xf numFmtId="164" fontId="12" fillId="6" borderId="9" xfId="0" applyNumberFormat="1" applyFont="1" applyFill="1" applyBorder="1" applyAlignment="1" applyProtection="1">
      <alignment horizontal="center" vertical="center"/>
    </xf>
    <xf numFmtId="164" fontId="12" fillId="6" borderId="7" xfId="0" applyNumberFormat="1" applyFont="1" applyFill="1" applyBorder="1" applyAlignment="1" applyProtection="1">
      <alignment horizontal="center" vertical="center"/>
    </xf>
    <xf numFmtId="0" fontId="10" fillId="6" borderId="10" xfId="0" applyFont="1" applyFill="1" applyBorder="1" applyAlignment="1" applyProtection="1">
      <alignment horizontal="center" vertical="center"/>
    </xf>
    <xf numFmtId="0" fontId="10" fillId="6" borderId="11" xfId="0" applyFont="1" applyFill="1" applyBorder="1" applyAlignment="1" applyProtection="1">
      <alignment horizontal="center" vertical="center"/>
    </xf>
    <xf numFmtId="9" fontId="11" fillId="6" borderId="12" xfId="0" applyNumberFormat="1" applyFont="1" applyFill="1" applyBorder="1" applyAlignment="1" applyProtection="1">
      <alignment vertical="center" wrapText="1"/>
    </xf>
    <xf numFmtId="4" fontId="12" fillId="6" borderId="13" xfId="0" applyNumberFormat="1" applyFont="1" applyFill="1" applyBorder="1" applyAlignment="1" applyProtection="1">
      <alignment horizontal="center" vertical="center"/>
    </xf>
    <xf numFmtId="164" fontId="12" fillId="6" borderId="12" xfId="0" applyNumberFormat="1" applyFont="1" applyFill="1" applyBorder="1" applyAlignment="1" applyProtection="1">
      <alignment horizontal="center" vertical="center"/>
    </xf>
    <xf numFmtId="0" fontId="13" fillId="7" borderId="5" xfId="0" applyFont="1" applyFill="1" applyBorder="1" applyAlignment="1" applyProtection="1">
      <alignment horizontal="center" vertical="center"/>
    </xf>
    <xf numFmtId="0" fontId="13" fillId="7" borderId="6" xfId="0" applyFont="1" applyFill="1" applyBorder="1" applyAlignment="1" applyProtection="1">
      <alignment horizontal="center" vertical="center"/>
    </xf>
    <xf numFmtId="4" fontId="14" fillId="7" borderId="6" xfId="0" applyNumberFormat="1" applyFont="1" applyFill="1" applyBorder="1" applyAlignment="1" applyProtection="1">
      <alignment horizontal="center" vertical="center"/>
    </xf>
    <xf numFmtId="0" fontId="14" fillId="7" borderId="6" xfId="0" applyFont="1" applyFill="1" applyBorder="1" applyAlignment="1" applyProtection="1">
      <alignment horizontal="center" vertical="center"/>
    </xf>
    <xf numFmtId="164" fontId="11" fillId="8" borderId="7" xfId="0" applyNumberFormat="1" applyFont="1" applyFill="1" applyBorder="1" applyAlignment="1" applyProtection="1">
      <alignment horizontal="center" vertical="center"/>
    </xf>
    <xf numFmtId="4" fontId="14" fillId="7" borderId="5" xfId="0" applyNumberFormat="1" applyFont="1" applyFill="1" applyBorder="1" applyAlignment="1" applyProtection="1">
      <alignment horizontal="center" vertical="center"/>
    </xf>
    <xf numFmtId="0" fontId="13" fillId="6" borderId="5" xfId="0" applyFont="1" applyFill="1" applyBorder="1" applyAlignment="1" applyProtection="1">
      <alignment horizontal="center" vertical="center"/>
    </xf>
    <xf numFmtId="0" fontId="13" fillId="6" borderId="6" xfId="0" applyFont="1" applyFill="1" applyBorder="1" applyAlignment="1" applyProtection="1">
      <alignment horizontal="center" vertical="center"/>
    </xf>
    <xf numFmtId="0" fontId="11" fillId="6" borderId="6" xfId="0" applyFont="1" applyFill="1" applyBorder="1" applyAlignment="1" applyProtection="1">
      <alignment vertical="center"/>
    </xf>
    <xf numFmtId="4" fontId="14" fillId="6" borderId="6" xfId="0" applyNumberFormat="1" applyFont="1" applyFill="1" applyBorder="1" applyAlignment="1" applyProtection="1">
      <alignment horizontal="center" vertical="center"/>
    </xf>
    <xf numFmtId="0" fontId="14" fillId="6" borderId="6" xfId="0" applyFont="1" applyFill="1" applyBorder="1" applyAlignment="1" applyProtection="1">
      <alignment horizontal="center" vertical="center"/>
    </xf>
    <xf numFmtId="164" fontId="11" fillId="6" borderId="7" xfId="0" applyNumberFormat="1" applyFont="1" applyFill="1" applyBorder="1" applyAlignment="1" applyProtection="1">
      <alignment horizontal="center" vertical="center"/>
    </xf>
    <xf numFmtId="4" fontId="14" fillId="6" borderId="5" xfId="0" applyNumberFormat="1" applyFont="1" applyFill="1" applyBorder="1" applyAlignment="1" applyProtection="1">
      <alignment horizontal="center" vertical="center"/>
    </xf>
    <xf numFmtId="0" fontId="13" fillId="6" borderId="10" xfId="0" applyFont="1" applyFill="1" applyBorder="1" applyAlignment="1" applyProtection="1">
      <alignment horizontal="center" vertical="center"/>
    </xf>
    <xf numFmtId="0" fontId="13" fillId="6" borderId="11" xfId="0" applyFont="1" applyFill="1" applyBorder="1" applyAlignment="1" applyProtection="1">
      <alignment horizontal="center" vertical="center"/>
    </xf>
    <xf numFmtId="0" fontId="11" fillId="6" borderId="11" xfId="0" applyFont="1" applyFill="1" applyBorder="1" applyAlignment="1" applyProtection="1">
      <alignment vertical="center"/>
    </xf>
    <xf numFmtId="4" fontId="14" fillId="6" borderId="11" xfId="0" applyNumberFormat="1" applyFont="1" applyFill="1" applyBorder="1" applyAlignment="1" applyProtection="1">
      <alignment horizontal="center" vertical="center"/>
    </xf>
    <xf numFmtId="0" fontId="14" fillId="6" borderId="11" xfId="0" applyFont="1" applyFill="1" applyBorder="1" applyAlignment="1" applyProtection="1">
      <alignment horizontal="center" vertical="center"/>
    </xf>
    <xf numFmtId="164" fontId="11" fillId="6" borderId="12" xfId="0" applyNumberFormat="1" applyFont="1" applyFill="1" applyBorder="1" applyAlignment="1" applyProtection="1">
      <alignment horizontal="center" vertical="center"/>
    </xf>
    <xf numFmtId="4" fontId="14" fillId="6" borderId="10" xfId="0" applyNumberFormat="1" applyFont="1" applyFill="1" applyBorder="1" applyAlignment="1" applyProtection="1">
      <alignment horizontal="center" vertical="center"/>
    </xf>
    <xf numFmtId="4" fontId="16" fillId="9" borderId="16" xfId="0" applyNumberFormat="1" applyFont="1" applyFill="1" applyBorder="1" applyAlignment="1" applyProtection="1">
      <alignment horizontal="center" vertical="center" wrapText="1"/>
      <protection locked="0"/>
    </xf>
    <xf numFmtId="0" fontId="17" fillId="8" borderId="17" xfId="0" applyFont="1" applyFill="1" applyBorder="1" applyAlignment="1" applyProtection="1">
      <alignment horizontal="center" vertical="center" wrapText="1"/>
    </xf>
    <xf numFmtId="4" fontId="19" fillId="9" borderId="16" xfId="0" applyNumberFormat="1" applyFont="1" applyFill="1" applyBorder="1" applyAlignment="1" applyProtection="1">
      <alignment horizontal="center" vertical="center" wrapText="1"/>
      <protection locked="0"/>
    </xf>
    <xf numFmtId="0" fontId="20" fillId="9" borderId="16" xfId="0" applyNumberFormat="1" applyFont="1" applyFill="1" applyBorder="1" applyAlignment="1" applyProtection="1">
      <alignment horizontal="center" vertical="center" wrapText="1"/>
      <protection locked="0"/>
    </xf>
    <xf numFmtId="4" fontId="6" fillId="0" borderId="22" xfId="0" applyNumberFormat="1" applyFont="1" applyBorder="1" applyAlignment="1">
      <alignment horizontal="center" vertical="center"/>
    </xf>
    <xf numFmtId="10" fontId="12" fillId="6" borderId="23" xfId="0" applyNumberFormat="1" applyFont="1" applyFill="1" applyBorder="1" applyAlignment="1" applyProtection="1">
      <alignment horizontal="center" vertical="center" wrapText="1"/>
    </xf>
    <xf numFmtId="10" fontId="12" fillId="6" borderId="24" xfId="1" applyNumberFormat="1" applyFont="1" applyFill="1" applyBorder="1" applyAlignment="1" applyProtection="1">
      <alignment horizontal="center" vertical="center"/>
    </xf>
    <xf numFmtId="0" fontId="5" fillId="0" borderId="25" xfId="0" applyFont="1" applyBorder="1" applyAlignment="1">
      <alignment vertical="top"/>
    </xf>
    <xf numFmtId="0" fontId="5" fillId="0" borderId="25" xfId="0" applyFont="1" applyBorder="1" applyAlignment="1">
      <alignment vertical="top" wrapText="1"/>
    </xf>
    <xf numFmtId="49" fontId="6" fillId="2" borderId="25" xfId="0" applyNumberFormat="1" applyFont="1" applyFill="1" applyBorder="1" applyAlignment="1">
      <alignment vertical="top"/>
    </xf>
    <xf numFmtId="49" fontId="6" fillId="2" borderId="25" xfId="0" applyNumberFormat="1" applyFont="1" applyFill="1" applyBorder="1" applyAlignment="1">
      <alignment vertical="top" wrapText="1"/>
    </xf>
    <xf numFmtId="3" fontId="6" fillId="2" borderId="25" xfId="0" applyNumberFormat="1" applyFont="1" applyFill="1" applyBorder="1" applyAlignment="1">
      <alignment vertical="top"/>
    </xf>
    <xf numFmtId="4" fontId="6" fillId="2" borderId="25" xfId="0" applyNumberFormat="1" applyFont="1" applyFill="1" applyBorder="1" applyAlignment="1">
      <alignment vertical="top"/>
    </xf>
    <xf numFmtId="49" fontId="8" fillId="3" borderId="25" xfId="0" applyNumberFormat="1" applyFont="1" applyFill="1" applyBorder="1" applyAlignment="1">
      <alignment vertical="top"/>
    </xf>
    <xf numFmtId="49" fontId="8" fillId="0" borderId="25" xfId="0" applyNumberFormat="1" applyFont="1" applyBorder="1" applyAlignment="1">
      <alignment vertical="top"/>
    </xf>
    <xf numFmtId="49" fontId="8" fillId="0" borderId="25" xfId="0" applyNumberFormat="1" applyFont="1" applyBorder="1" applyAlignment="1">
      <alignment vertical="top" wrapText="1"/>
    </xf>
    <xf numFmtId="4" fontId="8" fillId="0" borderId="25" xfId="0" applyNumberFormat="1" applyFont="1" applyBorder="1" applyAlignment="1">
      <alignment vertical="top"/>
    </xf>
    <xf numFmtId="0" fontId="8" fillId="0" borderId="25" xfId="0" applyFont="1" applyBorder="1" applyAlignment="1">
      <alignment vertical="top"/>
    </xf>
    <xf numFmtId="49" fontId="6" fillId="0" borderId="25" xfId="0" applyNumberFormat="1" applyFont="1" applyBorder="1" applyAlignment="1">
      <alignment vertical="top" wrapText="1"/>
    </xf>
    <xf numFmtId="3" fontId="8" fillId="0" borderId="25" xfId="0" applyNumberFormat="1" applyFont="1" applyBorder="1" applyAlignment="1">
      <alignment vertical="top"/>
    </xf>
    <xf numFmtId="4" fontId="6" fillId="0" borderId="25" xfId="0" applyNumberFormat="1" applyFont="1" applyBorder="1" applyAlignment="1">
      <alignment vertical="top"/>
    </xf>
    <xf numFmtId="0" fontId="8" fillId="4" borderId="25" xfId="0" applyFont="1" applyFill="1" applyBorder="1" applyAlignment="1">
      <alignment vertical="top"/>
    </xf>
    <xf numFmtId="0" fontId="8" fillId="4" borderId="25" xfId="0" applyFont="1" applyFill="1" applyBorder="1" applyAlignment="1">
      <alignment vertical="top" wrapText="1"/>
    </xf>
    <xf numFmtId="4" fontId="8" fillId="4" borderId="25" xfId="0" applyNumberFormat="1" applyFont="1" applyFill="1" applyBorder="1" applyAlignment="1">
      <alignment vertical="top"/>
    </xf>
    <xf numFmtId="3" fontId="26" fillId="2" borderId="25" xfId="0" applyNumberFormat="1" applyFont="1" applyFill="1" applyBorder="1" applyAlignment="1">
      <alignment vertical="top"/>
    </xf>
    <xf numFmtId="4" fontId="26" fillId="2" borderId="25" xfId="0" applyNumberFormat="1" applyFont="1" applyFill="1" applyBorder="1" applyAlignment="1">
      <alignment vertical="top"/>
    </xf>
    <xf numFmtId="49" fontId="6" fillId="5" borderId="25" xfId="0" applyNumberFormat="1" applyFont="1" applyFill="1" applyBorder="1" applyAlignment="1">
      <alignment vertical="top"/>
    </xf>
    <xf numFmtId="49" fontId="6" fillId="5" borderId="25" xfId="0" applyNumberFormat="1" applyFont="1" applyFill="1" applyBorder="1" applyAlignment="1">
      <alignment vertical="top" wrapText="1"/>
    </xf>
    <xf numFmtId="4" fontId="26" fillId="5" borderId="25" xfId="0" applyNumberFormat="1" applyFont="1" applyFill="1" applyBorder="1" applyAlignment="1">
      <alignment vertical="top"/>
    </xf>
    <xf numFmtId="4" fontId="27" fillId="0" borderId="25" xfId="0" applyNumberFormat="1" applyFont="1" applyBorder="1" applyAlignment="1">
      <alignment vertical="top"/>
    </xf>
    <xf numFmtId="4" fontId="26" fillId="0" borderId="25" xfId="0" applyNumberFormat="1" applyFont="1" applyBorder="1" applyAlignment="1">
      <alignment vertical="top"/>
    </xf>
    <xf numFmtId="0" fontId="27" fillId="4" borderId="25" xfId="0" applyFont="1" applyFill="1" applyBorder="1" applyAlignment="1">
      <alignment vertical="top"/>
    </xf>
    <xf numFmtId="3" fontId="27" fillId="0" borderId="25" xfId="0" applyNumberFormat="1" applyFont="1" applyBorder="1" applyAlignment="1">
      <alignment vertical="top"/>
    </xf>
    <xf numFmtId="4" fontId="8" fillId="0" borderId="25" xfId="0" applyNumberFormat="1" applyFont="1" applyBorder="1" applyAlignment="1" applyProtection="1">
      <alignment vertical="top"/>
      <protection locked="0"/>
    </xf>
    <xf numFmtId="4" fontId="27" fillId="0" borderId="25" xfId="0" applyNumberFormat="1" applyFont="1" applyBorder="1" applyAlignment="1" applyProtection="1">
      <alignment vertical="top"/>
      <protection locked="0"/>
    </xf>
    <xf numFmtId="0" fontId="22" fillId="7" borderId="0" xfId="0" applyFont="1" applyFill="1" applyBorder="1" applyAlignment="1" applyProtection="1">
      <alignment horizontal="left" vertical="center" wrapText="1"/>
    </xf>
    <xf numFmtId="0" fontId="22" fillId="7" borderId="9" xfId="0" applyFont="1" applyFill="1" applyBorder="1" applyAlignment="1" applyProtection="1">
      <alignment horizontal="left" vertical="center" wrapText="1"/>
    </xf>
    <xf numFmtId="4" fontId="6" fillId="2" borderId="26" xfId="0" applyNumberFormat="1" applyFont="1" applyFill="1" applyBorder="1" applyAlignment="1" applyProtection="1">
      <alignment horizontal="center" vertical="center"/>
    </xf>
    <xf numFmtId="10" fontId="25" fillId="0" borderId="23" xfId="0" applyNumberFormat="1" applyFont="1" applyBorder="1" applyAlignment="1" applyProtection="1">
      <alignment horizontal="center" vertical="center"/>
      <protection locked="0"/>
    </xf>
    <xf numFmtId="10" fontId="25" fillId="0" borderId="24" xfId="0" applyNumberFormat="1" applyFont="1" applyBorder="1" applyAlignment="1" applyProtection="1">
      <alignment horizontal="center" vertical="center"/>
      <protection locked="0"/>
    </xf>
    <xf numFmtId="0" fontId="15" fillId="8" borderId="14" xfId="0" applyFont="1" applyFill="1" applyBorder="1" applyAlignment="1" applyProtection="1">
      <alignment horizontal="center" vertical="center" wrapText="1"/>
    </xf>
    <xf numFmtId="0" fontId="15" fillId="8" borderId="15" xfId="0" applyFont="1" applyFill="1" applyBorder="1" applyAlignment="1" applyProtection="1">
      <alignment horizontal="center" vertical="center" wrapText="1"/>
    </xf>
    <xf numFmtId="4" fontId="18" fillId="9" borderId="18" xfId="0" applyNumberFormat="1" applyFont="1" applyFill="1" applyBorder="1" applyAlignment="1" applyProtection="1">
      <alignment horizontal="center" vertical="center" wrapText="1"/>
      <protection locked="0"/>
    </xf>
    <xf numFmtId="4" fontId="18" fillId="9" borderId="19" xfId="0" applyNumberFormat="1" applyFont="1" applyFill="1" applyBorder="1" applyAlignment="1" applyProtection="1">
      <alignment horizontal="center" vertical="center" wrapText="1"/>
      <protection locked="0"/>
    </xf>
    <xf numFmtId="4" fontId="18" fillId="9" borderId="20" xfId="0" applyNumberFormat="1" applyFont="1" applyFill="1" applyBorder="1" applyAlignment="1" applyProtection="1">
      <alignment horizontal="center" vertical="center" wrapText="1"/>
      <protection locked="0"/>
    </xf>
    <xf numFmtId="0" fontId="21" fillId="8" borderId="5" xfId="0" applyFont="1" applyFill="1" applyBorder="1" applyAlignment="1" applyProtection="1">
      <alignment horizontal="center" vertical="center" wrapText="1"/>
    </xf>
    <xf numFmtId="0" fontId="21" fillId="8" borderId="6" xfId="0" applyFont="1" applyFill="1" applyBorder="1" applyAlignment="1" applyProtection="1">
      <alignment horizontal="center" vertical="center" wrapText="1"/>
    </xf>
    <xf numFmtId="0" fontId="21" fillId="8" borderId="21" xfId="0" applyFont="1" applyFill="1" applyBorder="1" applyAlignment="1" applyProtection="1">
      <alignment horizontal="center" vertical="center" wrapText="1"/>
    </xf>
    <xf numFmtId="0" fontId="21" fillId="8" borderId="0" xfId="0" applyFont="1" applyFill="1" applyBorder="1" applyAlignment="1" applyProtection="1">
      <alignment horizontal="center" vertical="center" wrapText="1"/>
    </xf>
    <xf numFmtId="0" fontId="21" fillId="8" borderId="10" xfId="0" applyFont="1" applyFill="1" applyBorder="1" applyAlignment="1" applyProtection="1">
      <alignment horizontal="center" vertical="center" wrapText="1"/>
    </xf>
    <xf numFmtId="0" fontId="21" fillId="8" borderId="11" xfId="0" applyFont="1" applyFill="1" applyBorder="1" applyAlignment="1" applyProtection="1">
      <alignment horizontal="center" vertical="center" wrapText="1"/>
    </xf>
    <xf numFmtId="0" fontId="22" fillId="7" borderId="6" xfId="0" applyFont="1" applyFill="1" applyBorder="1" applyAlignment="1" applyProtection="1">
      <alignment horizontal="left" vertical="center" wrapText="1"/>
    </xf>
    <xf numFmtId="0" fontId="22" fillId="7" borderId="7" xfId="0" applyFont="1" applyFill="1" applyBorder="1" applyAlignment="1" applyProtection="1">
      <alignment horizontal="left" vertical="center" wrapText="1"/>
    </xf>
    <xf numFmtId="0" fontId="22" fillId="7" borderId="0" xfId="0" applyFont="1" applyFill="1" applyBorder="1" applyAlignment="1" applyProtection="1">
      <alignment horizontal="left" vertical="center" wrapText="1"/>
    </xf>
    <xf numFmtId="0" fontId="22" fillId="7" borderId="9" xfId="0" applyFont="1" applyFill="1" applyBorder="1" applyAlignment="1" applyProtection="1">
      <alignment horizontal="left" vertical="center" wrapText="1"/>
    </xf>
    <xf numFmtId="0" fontId="23" fillId="7" borderId="11" xfId="0" applyFont="1" applyFill="1" applyBorder="1" applyAlignment="1" applyProtection="1">
      <alignment horizontal="left" vertical="center" wrapText="1"/>
    </xf>
    <xf numFmtId="0" fontId="22" fillId="7" borderId="11" xfId="0" applyFont="1" applyFill="1" applyBorder="1" applyAlignment="1" applyProtection="1">
      <alignment horizontal="left" vertical="center" wrapText="1"/>
    </xf>
    <xf numFmtId="0" fontId="22" fillId="7" borderId="12" xfId="0" applyFont="1" applyFill="1" applyBorder="1" applyAlignment="1" applyProtection="1">
      <alignment horizontal="left" vertical="center" wrapText="1"/>
    </xf>
    <xf numFmtId="165" fontId="18" fillId="9" borderId="18" xfId="0" applyNumberFormat="1" applyFont="1" applyFill="1" applyBorder="1" applyAlignment="1" applyProtection="1">
      <alignment horizontal="center" vertical="center" wrapText="1"/>
      <protection locked="0"/>
    </xf>
    <xf numFmtId="165" fontId="18" fillId="9" borderId="19" xfId="0" applyNumberFormat="1" applyFont="1" applyFill="1" applyBorder="1" applyAlignment="1" applyProtection="1">
      <alignment horizontal="center" vertical="center" wrapText="1"/>
      <protection locked="0"/>
    </xf>
    <xf numFmtId="165" fontId="18" fillId="9" borderId="20" xfId="0" applyNumberFormat="1" applyFont="1" applyFill="1" applyBorder="1" applyAlignment="1" applyProtection="1">
      <alignment horizontal="center" vertical="center" wrapText="1"/>
      <protection locked="0"/>
    </xf>
    <xf numFmtId="0" fontId="2" fillId="10" borderId="25" xfId="0" applyFont="1" applyFill="1" applyBorder="1" applyAlignment="1">
      <alignment vertical="top" wrapText="1"/>
    </xf>
    <xf numFmtId="0" fontId="0" fillId="10" borderId="25" xfId="0" applyFill="1" applyBorder="1" applyAlignment="1">
      <alignment wrapText="1"/>
    </xf>
    <xf numFmtId="0" fontId="3" fillId="0" borderId="25" xfId="0" applyFont="1" applyBorder="1" applyAlignment="1">
      <alignment vertical="top" wrapText="1"/>
    </xf>
    <xf numFmtId="0" fontId="0" fillId="0" borderId="25" xfId="0" applyBorder="1" applyAlignment="1">
      <alignment vertical="top" wrapText="1"/>
    </xf>
    <xf numFmtId="0" fontId="1" fillId="0" borderId="25" xfId="0" applyFont="1" applyBorder="1" applyAlignment="1">
      <alignment vertical="top" wrapText="1"/>
    </xf>
  </cellXfs>
  <cellStyles count="2">
    <cellStyle name="Normal" xfId="0" builtinId="0"/>
    <cellStyle name="Porcentaje" xfId="1" builtinId="5"/>
  </cellStyles>
  <dxfs count="5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105"/>
  <sheetViews>
    <sheetView tabSelected="1" topLeftCell="A70" workbookViewId="0">
      <selection activeCell="G87" sqref="G87"/>
    </sheetView>
  </sheetViews>
  <sheetFormatPr baseColWidth="10" defaultRowHeight="14.4" x14ac:dyDescent="0.3"/>
  <cols>
    <col min="1" max="1" width="7.109375" customWidth="1"/>
    <col min="2" max="2" width="7.77734375" customWidth="1"/>
    <col min="3" max="3" width="37.6640625" customWidth="1"/>
    <col min="4" max="4" width="8" customWidth="1"/>
    <col min="5" max="5" width="7.6640625" customWidth="1"/>
    <col min="6" max="6" width="10.6640625" customWidth="1"/>
    <col min="7" max="7" width="12.88671875" customWidth="1"/>
    <col min="8" max="8" width="16.88671875" customWidth="1"/>
  </cols>
  <sheetData>
    <row r="1" spans="1:10" ht="16.8" customHeight="1" x14ac:dyDescent="0.3">
      <c r="A1" s="99" t="s">
        <v>164</v>
      </c>
      <c r="B1" s="100"/>
      <c r="C1" s="100"/>
      <c r="D1" s="100"/>
      <c r="E1" s="100"/>
      <c r="F1" s="100"/>
      <c r="G1" s="100"/>
      <c r="H1" s="100"/>
    </row>
    <row r="2" spans="1:10" ht="15.6" customHeight="1" x14ac:dyDescent="0.3">
      <c r="A2" s="101"/>
      <c r="B2" s="102"/>
      <c r="C2" s="102"/>
      <c r="D2" s="102"/>
      <c r="E2" s="103" t="s">
        <v>147</v>
      </c>
      <c r="F2" s="103"/>
      <c r="G2" s="103" t="s">
        <v>165</v>
      </c>
      <c r="H2" s="103"/>
    </row>
    <row r="3" spans="1:10" x14ac:dyDescent="0.3">
      <c r="A3" s="45" t="s">
        <v>0</v>
      </c>
      <c r="B3" s="45" t="s">
        <v>1</v>
      </c>
      <c r="C3" s="46" t="s">
        <v>2</v>
      </c>
      <c r="D3" s="45" t="s">
        <v>144</v>
      </c>
      <c r="E3" s="45" t="s">
        <v>145</v>
      </c>
      <c r="F3" s="45" t="s">
        <v>146</v>
      </c>
      <c r="G3" s="45" t="s">
        <v>145</v>
      </c>
      <c r="H3" s="45" t="s">
        <v>146</v>
      </c>
    </row>
    <row r="4" spans="1:10" x14ac:dyDescent="0.3">
      <c r="A4" s="47" t="s">
        <v>3</v>
      </c>
      <c r="B4" s="47" t="s">
        <v>4</v>
      </c>
      <c r="C4" s="48" t="s">
        <v>5</v>
      </c>
      <c r="D4" s="49">
        <f>D11</f>
        <v>1</v>
      </c>
      <c r="E4" s="50">
        <f>E11</f>
        <v>8167.97</v>
      </c>
      <c r="F4" s="50">
        <f>F11</f>
        <v>8167.97</v>
      </c>
      <c r="G4" s="50">
        <f>G11</f>
        <v>1500</v>
      </c>
      <c r="H4" s="50">
        <f>H11</f>
        <v>1500</v>
      </c>
    </row>
    <row r="5" spans="1:10" ht="20.399999999999999" x14ac:dyDescent="0.3">
      <c r="A5" s="51" t="s">
        <v>6</v>
      </c>
      <c r="B5" s="52" t="s">
        <v>7</v>
      </c>
      <c r="C5" s="53" t="s">
        <v>8</v>
      </c>
      <c r="D5" s="54">
        <v>89</v>
      </c>
      <c r="E5" s="54">
        <f>20.78*1.06</f>
        <v>22.03</v>
      </c>
      <c r="F5" s="54">
        <f>ROUND(D5*E5,2)</f>
        <v>1960.67</v>
      </c>
      <c r="G5" s="71"/>
      <c r="H5" s="54">
        <f t="shared" ref="H5:H8" si="0">ROUND(D5*G5,2)</f>
        <v>0</v>
      </c>
      <c r="J5" s="1"/>
    </row>
    <row r="6" spans="1:10" ht="20.399999999999999" x14ac:dyDescent="0.3">
      <c r="A6" s="51" t="s">
        <v>9</v>
      </c>
      <c r="B6" s="52" t="s">
        <v>10</v>
      </c>
      <c r="C6" s="53" t="s">
        <v>11</v>
      </c>
      <c r="D6" s="54">
        <v>3</v>
      </c>
      <c r="E6" s="54">
        <f>225*1.06</f>
        <v>238.5</v>
      </c>
      <c r="F6" s="54">
        <f>ROUND(D6*E6,2)</f>
        <v>715.5</v>
      </c>
      <c r="G6" s="71"/>
      <c r="H6" s="54">
        <f t="shared" si="0"/>
        <v>0</v>
      </c>
    </row>
    <row r="7" spans="1:10" ht="20.399999999999999" x14ac:dyDescent="0.3">
      <c r="A7" s="51" t="s">
        <v>12</v>
      </c>
      <c r="B7" s="52" t="s">
        <v>10</v>
      </c>
      <c r="C7" s="53" t="s">
        <v>13</v>
      </c>
      <c r="D7" s="54">
        <v>3</v>
      </c>
      <c r="E7" s="54">
        <f>193.5*1.06</f>
        <v>205.11</v>
      </c>
      <c r="F7" s="54">
        <f>ROUND(D7*E7,2)</f>
        <v>615.33000000000004</v>
      </c>
      <c r="G7" s="71"/>
      <c r="H7" s="54">
        <f t="shared" si="0"/>
        <v>0</v>
      </c>
    </row>
    <row r="8" spans="1:10" ht="20.399999999999999" x14ac:dyDescent="0.3">
      <c r="A8" s="51" t="s">
        <v>14</v>
      </c>
      <c r="B8" s="52" t="s">
        <v>10</v>
      </c>
      <c r="C8" s="53" t="s">
        <v>15</v>
      </c>
      <c r="D8" s="54">
        <v>3</v>
      </c>
      <c r="E8" s="54">
        <f>836.78*1.06</f>
        <v>886.99</v>
      </c>
      <c r="F8" s="54">
        <f>ROUND(D8*E8,2)</f>
        <v>2660.97</v>
      </c>
      <c r="G8" s="71"/>
      <c r="H8" s="54">
        <f t="shared" si="0"/>
        <v>0</v>
      </c>
    </row>
    <row r="9" spans="1:10" ht="30.6" x14ac:dyDescent="0.3">
      <c r="A9" s="51" t="s">
        <v>16</v>
      </c>
      <c r="B9" s="52" t="s">
        <v>10</v>
      </c>
      <c r="C9" s="53" t="s">
        <v>17</v>
      </c>
      <c r="D9" s="54">
        <v>3</v>
      </c>
      <c r="E9" s="54">
        <f>225*1.06</f>
        <v>238.5</v>
      </c>
      <c r="F9" s="54">
        <f>ROUND(D9*E9,2)</f>
        <v>715.5</v>
      </c>
      <c r="G9" s="71"/>
      <c r="H9" s="54">
        <f>ROUND(D9*G9,2)</f>
        <v>0</v>
      </c>
    </row>
    <row r="10" spans="1:10" ht="20.399999999999999" x14ac:dyDescent="0.3">
      <c r="A10" s="51" t="s">
        <v>18</v>
      </c>
      <c r="B10" s="52" t="s">
        <v>19</v>
      </c>
      <c r="C10" s="53" t="s">
        <v>20</v>
      </c>
      <c r="D10" s="54">
        <v>1</v>
      </c>
      <c r="E10" s="54">
        <f>1415.09*1.06</f>
        <v>1500</v>
      </c>
      <c r="F10" s="54">
        <f t="shared" ref="F10" si="1">ROUND(D10*E10,2)</f>
        <v>1500</v>
      </c>
      <c r="G10" s="54">
        <f>1415.09*1.06</f>
        <v>1500</v>
      </c>
      <c r="H10" s="54">
        <f>ROUND(D10*G10,2)</f>
        <v>1500</v>
      </c>
    </row>
    <row r="11" spans="1:10" x14ac:dyDescent="0.3">
      <c r="A11" s="55"/>
      <c r="B11" s="55"/>
      <c r="C11" s="56" t="s">
        <v>21</v>
      </c>
      <c r="D11" s="57">
        <v>1</v>
      </c>
      <c r="E11" s="58">
        <f>SUM(F5:F10)</f>
        <v>8167.97</v>
      </c>
      <c r="F11" s="58">
        <f>ROUND(D11*E11,2)</f>
        <v>8167.97</v>
      </c>
      <c r="G11" s="58">
        <f>SUM(H5:H10)</f>
        <v>1500</v>
      </c>
      <c r="H11" s="58">
        <f>ROUND(D11*G11,2)</f>
        <v>1500</v>
      </c>
    </row>
    <row r="12" spans="1:10" ht="1.05" customHeight="1" x14ac:dyDescent="0.3">
      <c r="A12" s="59"/>
      <c r="B12" s="59"/>
      <c r="C12" s="60"/>
      <c r="D12" s="59"/>
      <c r="E12" s="59"/>
      <c r="F12" s="61">
        <f>+F11</f>
        <v>8167.97</v>
      </c>
      <c r="G12" s="59"/>
      <c r="H12" s="61">
        <f>+H11</f>
        <v>1500</v>
      </c>
    </row>
    <row r="13" spans="1:10" ht="20.399999999999999" x14ac:dyDescent="0.3">
      <c r="A13" s="47" t="s">
        <v>22</v>
      </c>
      <c r="B13" s="47" t="s">
        <v>4</v>
      </c>
      <c r="C13" s="48" t="s">
        <v>23</v>
      </c>
      <c r="D13" s="62">
        <f>D30</f>
        <v>1</v>
      </c>
      <c r="E13" s="63">
        <f>E30</f>
        <v>36307.89</v>
      </c>
      <c r="F13" s="63">
        <f>F30</f>
        <v>36307.89</v>
      </c>
      <c r="G13" s="63">
        <f>G30</f>
        <v>0</v>
      </c>
      <c r="H13" s="63">
        <f>H30</f>
        <v>0</v>
      </c>
    </row>
    <row r="14" spans="1:10" x14ac:dyDescent="0.3">
      <c r="A14" s="64" t="s">
        <v>24</v>
      </c>
      <c r="B14" s="64" t="s">
        <v>4</v>
      </c>
      <c r="C14" s="65" t="s">
        <v>25</v>
      </c>
      <c r="D14" s="66">
        <f>D17</f>
        <v>1</v>
      </c>
      <c r="E14" s="66">
        <f>E17</f>
        <v>8204.6200000000008</v>
      </c>
      <c r="F14" s="66">
        <f>F17</f>
        <v>8204.6200000000008</v>
      </c>
      <c r="G14" s="66">
        <f>G17</f>
        <v>0</v>
      </c>
      <c r="H14" s="66">
        <f>H17</f>
        <v>0</v>
      </c>
    </row>
    <row r="15" spans="1:10" ht="20.399999999999999" x14ac:dyDescent="0.3">
      <c r="A15" s="51" t="s">
        <v>26</v>
      </c>
      <c r="B15" s="52" t="s">
        <v>7</v>
      </c>
      <c r="C15" s="53" t="s">
        <v>27</v>
      </c>
      <c r="D15" s="54">
        <v>191</v>
      </c>
      <c r="E15" s="54">
        <f>9.98*1.06</f>
        <v>10.58</v>
      </c>
      <c r="F15" s="54">
        <f>ROUND(D15*E15,2)</f>
        <v>2020.78</v>
      </c>
      <c r="G15" s="71"/>
      <c r="H15" s="54">
        <f>ROUND(D15*G15,2)</f>
        <v>0</v>
      </c>
    </row>
    <row r="16" spans="1:10" ht="20.399999999999999" x14ac:dyDescent="0.3">
      <c r="A16" s="51" t="s">
        <v>28</v>
      </c>
      <c r="B16" s="52" t="s">
        <v>10</v>
      </c>
      <c r="C16" s="53" t="s">
        <v>29</v>
      </c>
      <c r="D16" s="54">
        <v>1</v>
      </c>
      <c r="E16" s="54">
        <f>5833.81*1.06</f>
        <v>6183.84</v>
      </c>
      <c r="F16" s="54">
        <f>ROUND(D16*E16,2)</f>
        <v>6183.84</v>
      </c>
      <c r="G16" s="71"/>
      <c r="H16" s="54">
        <f>ROUND(D16*G16,2)</f>
        <v>0</v>
      </c>
    </row>
    <row r="17" spans="1:8" x14ac:dyDescent="0.3">
      <c r="A17" s="55"/>
      <c r="B17" s="55"/>
      <c r="C17" s="56" t="s">
        <v>30</v>
      </c>
      <c r="D17" s="67">
        <v>1</v>
      </c>
      <c r="E17" s="68">
        <f>SUM(F15:F16)</f>
        <v>8204.6200000000008</v>
      </c>
      <c r="F17" s="68">
        <f>ROUND(D17*E17,2)</f>
        <v>8204.6200000000008</v>
      </c>
      <c r="G17" s="68">
        <f>SUM(H15:H16)</f>
        <v>0</v>
      </c>
      <c r="H17" s="68">
        <f>ROUND(D17*G17,2)</f>
        <v>0</v>
      </c>
    </row>
    <row r="18" spans="1:8" ht="1.05" customHeight="1" x14ac:dyDescent="0.3">
      <c r="A18" s="59"/>
      <c r="B18" s="59"/>
      <c r="C18" s="60"/>
      <c r="D18" s="69"/>
      <c r="E18" s="69"/>
      <c r="F18" s="69"/>
      <c r="G18" s="69"/>
      <c r="H18" s="69"/>
    </row>
    <row r="19" spans="1:8" x14ac:dyDescent="0.3">
      <c r="A19" s="64" t="s">
        <v>31</v>
      </c>
      <c r="B19" s="64" t="s">
        <v>4</v>
      </c>
      <c r="C19" s="65" t="s">
        <v>32</v>
      </c>
      <c r="D19" s="66">
        <f>D28</f>
        <v>1</v>
      </c>
      <c r="E19" s="66">
        <f>E28</f>
        <v>28103.27</v>
      </c>
      <c r="F19" s="66">
        <f>F28</f>
        <v>28103.27</v>
      </c>
      <c r="G19" s="66">
        <f>G28</f>
        <v>0</v>
      </c>
      <c r="H19" s="66">
        <f>H28</f>
        <v>0</v>
      </c>
    </row>
    <row r="20" spans="1:8" x14ac:dyDescent="0.3">
      <c r="A20" s="51" t="s">
        <v>33</v>
      </c>
      <c r="B20" s="52" t="s">
        <v>10</v>
      </c>
      <c r="C20" s="53" t="s">
        <v>34</v>
      </c>
      <c r="D20" s="54">
        <v>2</v>
      </c>
      <c r="E20" s="54">
        <f>290.3*1.06</f>
        <v>307.72000000000003</v>
      </c>
      <c r="F20" s="54">
        <f t="shared" ref="F20:F27" si="2">ROUND(D20*E20,2)</f>
        <v>615.44000000000005</v>
      </c>
      <c r="G20" s="71"/>
      <c r="H20" s="54">
        <f t="shared" ref="H20:H28" si="3">ROUND(D20*G20,2)</f>
        <v>0</v>
      </c>
    </row>
    <row r="21" spans="1:8" ht="20.399999999999999" x14ac:dyDescent="0.3">
      <c r="A21" s="51" t="s">
        <v>35</v>
      </c>
      <c r="B21" s="52" t="s">
        <v>36</v>
      </c>
      <c r="C21" s="53" t="s">
        <v>37</v>
      </c>
      <c r="D21" s="54">
        <v>79.010000000000005</v>
      </c>
      <c r="E21" s="54">
        <f>177.34*1.06</f>
        <v>187.98</v>
      </c>
      <c r="F21" s="54">
        <f t="shared" si="2"/>
        <v>14852.3</v>
      </c>
      <c r="G21" s="71"/>
      <c r="H21" s="54">
        <f t="shared" si="3"/>
        <v>0</v>
      </c>
    </row>
    <row r="22" spans="1:8" ht="20.399999999999999" x14ac:dyDescent="0.3">
      <c r="A22" s="51" t="s">
        <v>38</v>
      </c>
      <c r="B22" s="52" t="s">
        <v>10</v>
      </c>
      <c r="C22" s="53" t="s">
        <v>39</v>
      </c>
      <c r="D22" s="54">
        <v>4</v>
      </c>
      <c r="E22" s="54">
        <f>39.24*1.06</f>
        <v>41.59</v>
      </c>
      <c r="F22" s="54">
        <f t="shared" si="2"/>
        <v>166.36</v>
      </c>
      <c r="G22" s="71"/>
      <c r="H22" s="54">
        <f t="shared" si="3"/>
        <v>0</v>
      </c>
    </row>
    <row r="23" spans="1:8" ht="20.399999999999999" x14ac:dyDescent="0.3">
      <c r="A23" s="51" t="s">
        <v>40</v>
      </c>
      <c r="B23" s="52" t="s">
        <v>10</v>
      </c>
      <c r="C23" s="53" t="s">
        <v>41</v>
      </c>
      <c r="D23" s="54">
        <v>16</v>
      </c>
      <c r="E23" s="54">
        <f>33.87*1.06</f>
        <v>35.9</v>
      </c>
      <c r="F23" s="54">
        <f t="shared" si="2"/>
        <v>574.4</v>
      </c>
      <c r="G23" s="71"/>
      <c r="H23" s="54">
        <f t="shared" si="3"/>
        <v>0</v>
      </c>
    </row>
    <row r="24" spans="1:8" ht="20.399999999999999" x14ac:dyDescent="0.3">
      <c r="A24" s="51" t="s">
        <v>42</v>
      </c>
      <c r="B24" s="52" t="s">
        <v>10</v>
      </c>
      <c r="C24" s="53" t="s">
        <v>43</v>
      </c>
      <c r="D24" s="54">
        <v>140</v>
      </c>
      <c r="E24" s="54">
        <f>26.15*1.06</f>
        <v>27.72</v>
      </c>
      <c r="F24" s="54">
        <f t="shared" si="2"/>
        <v>3880.8</v>
      </c>
      <c r="G24" s="71"/>
      <c r="H24" s="54">
        <f t="shared" si="3"/>
        <v>0</v>
      </c>
    </row>
    <row r="25" spans="1:8" ht="20.399999999999999" x14ac:dyDescent="0.3">
      <c r="A25" s="51" t="s">
        <v>44</v>
      </c>
      <c r="B25" s="52" t="s">
        <v>7</v>
      </c>
      <c r="C25" s="53" t="s">
        <v>45</v>
      </c>
      <c r="D25" s="54">
        <v>122</v>
      </c>
      <c r="E25" s="54">
        <f>7.68*1.06</f>
        <v>8.14</v>
      </c>
      <c r="F25" s="54">
        <f t="shared" si="2"/>
        <v>993.08</v>
      </c>
      <c r="G25" s="71"/>
      <c r="H25" s="54">
        <f t="shared" si="3"/>
        <v>0</v>
      </c>
    </row>
    <row r="26" spans="1:8" ht="20.399999999999999" x14ac:dyDescent="0.3">
      <c r="A26" s="51" t="s">
        <v>46</v>
      </c>
      <c r="B26" s="52" t="s">
        <v>36</v>
      </c>
      <c r="C26" s="53" t="s">
        <v>47</v>
      </c>
      <c r="D26" s="54">
        <v>15.7</v>
      </c>
      <c r="E26" s="54">
        <f>248.95*1.06</f>
        <v>263.89</v>
      </c>
      <c r="F26" s="54">
        <f t="shared" si="2"/>
        <v>4143.07</v>
      </c>
      <c r="G26" s="71"/>
      <c r="H26" s="54">
        <f t="shared" si="3"/>
        <v>0</v>
      </c>
    </row>
    <row r="27" spans="1:8" ht="20.399999999999999" x14ac:dyDescent="0.3">
      <c r="A27" s="51" t="s">
        <v>48</v>
      </c>
      <c r="B27" s="52" t="s">
        <v>36</v>
      </c>
      <c r="C27" s="53" t="s">
        <v>49</v>
      </c>
      <c r="D27" s="54">
        <v>97.52</v>
      </c>
      <c r="E27" s="54">
        <f>27.84*1.06</f>
        <v>29.51</v>
      </c>
      <c r="F27" s="54">
        <f t="shared" si="2"/>
        <v>2877.82</v>
      </c>
      <c r="G27" s="71"/>
      <c r="H27" s="54">
        <f t="shared" si="3"/>
        <v>0</v>
      </c>
    </row>
    <row r="28" spans="1:8" x14ac:dyDescent="0.3">
      <c r="A28" s="55"/>
      <c r="B28" s="55"/>
      <c r="C28" s="56" t="s">
        <v>50</v>
      </c>
      <c r="D28" s="67">
        <v>1</v>
      </c>
      <c r="E28" s="68">
        <f>SUM(F20:F27)</f>
        <v>28103.27</v>
      </c>
      <c r="F28" s="68">
        <f>ROUND(D28*E28,2)</f>
        <v>28103.27</v>
      </c>
      <c r="G28" s="68">
        <f>SUM(H20:H27)</f>
        <v>0</v>
      </c>
      <c r="H28" s="68">
        <f t="shared" si="3"/>
        <v>0</v>
      </c>
    </row>
    <row r="29" spans="1:8" ht="1.05" customHeight="1" x14ac:dyDescent="0.3">
      <c r="A29" s="59"/>
      <c r="B29" s="59"/>
      <c r="C29" s="60"/>
      <c r="D29" s="69"/>
      <c r="E29" s="69"/>
      <c r="F29" s="69"/>
      <c r="G29" s="69"/>
      <c r="H29" s="69"/>
    </row>
    <row r="30" spans="1:8" x14ac:dyDescent="0.3">
      <c r="A30" s="55"/>
      <c r="B30" s="55"/>
      <c r="C30" s="56" t="s">
        <v>51</v>
      </c>
      <c r="D30" s="70">
        <v>1</v>
      </c>
      <c r="E30" s="68">
        <f>F14+F19</f>
        <v>36307.89</v>
      </c>
      <c r="F30" s="68">
        <f>ROUND(D30*E30,2)</f>
        <v>36307.89</v>
      </c>
      <c r="G30" s="68">
        <f>H14+H19</f>
        <v>0</v>
      </c>
      <c r="H30" s="68">
        <f>ROUND(D30*G30,2)</f>
        <v>0</v>
      </c>
    </row>
    <row r="31" spans="1:8" ht="1.05" customHeight="1" x14ac:dyDescent="0.3">
      <c r="A31" s="59"/>
      <c r="B31" s="59"/>
      <c r="C31" s="60"/>
      <c r="D31" s="69"/>
      <c r="E31" s="69"/>
      <c r="F31" s="69"/>
      <c r="G31" s="69"/>
      <c r="H31" s="69"/>
    </row>
    <row r="32" spans="1:8" x14ac:dyDescent="0.3">
      <c r="A32" s="47" t="s">
        <v>52</v>
      </c>
      <c r="B32" s="47" t="s">
        <v>4</v>
      </c>
      <c r="C32" s="48" t="s">
        <v>53</v>
      </c>
      <c r="D32" s="62">
        <f>D75</f>
        <v>1</v>
      </c>
      <c r="E32" s="63">
        <f>E75</f>
        <v>109889.11</v>
      </c>
      <c r="F32" s="63">
        <f>F75</f>
        <v>109889.11</v>
      </c>
      <c r="G32" s="63">
        <f>G75</f>
        <v>3000</v>
      </c>
      <c r="H32" s="63">
        <f>H75</f>
        <v>3000</v>
      </c>
    </row>
    <row r="33" spans="1:8" x14ac:dyDescent="0.3">
      <c r="A33" s="64" t="s">
        <v>54</v>
      </c>
      <c r="B33" s="64" t="s">
        <v>4</v>
      </c>
      <c r="C33" s="65" t="s">
        <v>55</v>
      </c>
      <c r="D33" s="66">
        <f>D47</f>
        <v>1</v>
      </c>
      <c r="E33" s="66">
        <f>E47</f>
        <v>64294.5</v>
      </c>
      <c r="F33" s="66">
        <f>F47</f>
        <v>64294.5</v>
      </c>
      <c r="G33" s="66">
        <f>G47</f>
        <v>1500</v>
      </c>
      <c r="H33" s="66">
        <f>H47</f>
        <v>1500</v>
      </c>
    </row>
    <row r="34" spans="1:8" ht="20.399999999999999" x14ac:dyDescent="0.3">
      <c r="A34" s="51" t="s">
        <v>56</v>
      </c>
      <c r="B34" s="52" t="s">
        <v>10</v>
      </c>
      <c r="C34" s="53" t="s">
        <v>57</v>
      </c>
      <c r="D34" s="54">
        <v>1</v>
      </c>
      <c r="E34" s="54">
        <f>1663.03*1.06</f>
        <v>1762.81</v>
      </c>
      <c r="F34" s="54">
        <f t="shared" ref="F34:F45" si="4">ROUND(D34*E34,2)</f>
        <v>1762.81</v>
      </c>
      <c r="G34" s="71"/>
      <c r="H34" s="54">
        <f t="shared" ref="H34:H47" si="5">ROUND(D34*G34,2)</f>
        <v>0</v>
      </c>
    </row>
    <row r="35" spans="1:8" ht="20.399999999999999" x14ac:dyDescent="0.3">
      <c r="A35" s="51" t="s">
        <v>58</v>
      </c>
      <c r="B35" s="52" t="s">
        <v>10</v>
      </c>
      <c r="C35" s="53" t="s">
        <v>59</v>
      </c>
      <c r="D35" s="54">
        <v>1</v>
      </c>
      <c r="E35" s="54">
        <f>25440.42*1.06</f>
        <v>26966.85</v>
      </c>
      <c r="F35" s="54">
        <f t="shared" si="4"/>
        <v>26966.85</v>
      </c>
      <c r="G35" s="71"/>
      <c r="H35" s="54">
        <f t="shared" si="5"/>
        <v>0</v>
      </c>
    </row>
    <row r="36" spans="1:8" x14ac:dyDescent="0.3">
      <c r="A36" s="51" t="s">
        <v>60</v>
      </c>
      <c r="B36" s="52" t="s">
        <v>7</v>
      </c>
      <c r="C36" s="53" t="s">
        <v>61</v>
      </c>
      <c r="D36" s="54">
        <v>191</v>
      </c>
      <c r="E36" s="54">
        <f>37.9*1.06</f>
        <v>40.17</v>
      </c>
      <c r="F36" s="54">
        <f t="shared" si="4"/>
        <v>7672.47</v>
      </c>
      <c r="G36" s="71"/>
      <c r="H36" s="54">
        <f t="shared" si="5"/>
        <v>0</v>
      </c>
    </row>
    <row r="37" spans="1:8" x14ac:dyDescent="0.3">
      <c r="A37" s="51" t="s">
        <v>62</v>
      </c>
      <c r="B37" s="52" t="s">
        <v>10</v>
      </c>
      <c r="C37" s="53" t="s">
        <v>63</v>
      </c>
      <c r="D37" s="54">
        <v>4</v>
      </c>
      <c r="E37" s="54">
        <f>810*1.06</f>
        <v>858.6</v>
      </c>
      <c r="F37" s="54">
        <f t="shared" si="4"/>
        <v>3434.4</v>
      </c>
      <c r="G37" s="71"/>
      <c r="H37" s="54">
        <f t="shared" si="5"/>
        <v>0</v>
      </c>
    </row>
    <row r="38" spans="1:8" ht="20.399999999999999" x14ac:dyDescent="0.3">
      <c r="A38" s="51" t="s">
        <v>64</v>
      </c>
      <c r="B38" s="52" t="s">
        <v>7</v>
      </c>
      <c r="C38" s="53" t="s">
        <v>65</v>
      </c>
      <c r="D38" s="54">
        <v>334</v>
      </c>
      <c r="E38" s="54">
        <f>1.7*1.06</f>
        <v>1.8</v>
      </c>
      <c r="F38" s="54">
        <f t="shared" si="4"/>
        <v>601.20000000000005</v>
      </c>
      <c r="G38" s="71"/>
      <c r="H38" s="54">
        <f t="shared" si="5"/>
        <v>0</v>
      </c>
    </row>
    <row r="39" spans="1:8" ht="20.399999999999999" x14ac:dyDescent="0.3">
      <c r="A39" s="51" t="s">
        <v>66</v>
      </c>
      <c r="B39" s="52" t="s">
        <v>7</v>
      </c>
      <c r="C39" s="53" t="s">
        <v>67</v>
      </c>
      <c r="D39" s="54">
        <v>191</v>
      </c>
      <c r="E39" s="54">
        <f>11.31*1.06</f>
        <v>11.99</v>
      </c>
      <c r="F39" s="54">
        <f t="shared" si="4"/>
        <v>2290.09</v>
      </c>
      <c r="G39" s="71"/>
      <c r="H39" s="54">
        <f t="shared" si="5"/>
        <v>0</v>
      </c>
    </row>
    <row r="40" spans="1:8" ht="20.399999999999999" x14ac:dyDescent="0.3">
      <c r="A40" s="51" t="s">
        <v>68</v>
      </c>
      <c r="B40" s="52" t="s">
        <v>10</v>
      </c>
      <c r="C40" s="53" t="s">
        <v>69</v>
      </c>
      <c r="D40" s="54">
        <v>4</v>
      </c>
      <c r="E40" s="54">
        <f>159.81*1.06</f>
        <v>169.4</v>
      </c>
      <c r="F40" s="54">
        <f t="shared" si="4"/>
        <v>677.6</v>
      </c>
      <c r="G40" s="71"/>
      <c r="H40" s="54">
        <f t="shared" si="5"/>
        <v>0</v>
      </c>
    </row>
    <row r="41" spans="1:8" ht="20.399999999999999" x14ac:dyDescent="0.3">
      <c r="A41" s="51" t="s">
        <v>70</v>
      </c>
      <c r="B41" s="52" t="s">
        <v>10</v>
      </c>
      <c r="C41" s="53" t="s">
        <v>71</v>
      </c>
      <c r="D41" s="54">
        <v>52</v>
      </c>
      <c r="E41" s="54">
        <f>58.2*1.06</f>
        <v>61.69</v>
      </c>
      <c r="F41" s="54">
        <f t="shared" si="4"/>
        <v>3207.88</v>
      </c>
      <c r="G41" s="71"/>
      <c r="H41" s="54">
        <f t="shared" si="5"/>
        <v>0</v>
      </c>
    </row>
    <row r="42" spans="1:8" ht="30.6" x14ac:dyDescent="0.3">
      <c r="A42" s="51" t="s">
        <v>72</v>
      </c>
      <c r="B42" s="52" t="s">
        <v>10</v>
      </c>
      <c r="C42" s="53" t="s">
        <v>73</v>
      </c>
      <c r="D42" s="54">
        <v>140</v>
      </c>
      <c r="E42" s="54">
        <f>56.04*1.06</f>
        <v>59.4</v>
      </c>
      <c r="F42" s="54">
        <f t="shared" si="4"/>
        <v>8316</v>
      </c>
      <c r="G42" s="71"/>
      <c r="H42" s="54">
        <f t="shared" si="5"/>
        <v>0</v>
      </c>
    </row>
    <row r="43" spans="1:8" ht="20.399999999999999" x14ac:dyDescent="0.3">
      <c r="A43" s="51" t="s">
        <v>74</v>
      </c>
      <c r="B43" s="52" t="s">
        <v>10</v>
      </c>
      <c r="C43" s="53" t="s">
        <v>75</v>
      </c>
      <c r="D43" s="54">
        <v>140</v>
      </c>
      <c r="E43" s="54">
        <f>3.63*1.06</f>
        <v>3.85</v>
      </c>
      <c r="F43" s="54">
        <f t="shared" si="4"/>
        <v>539</v>
      </c>
      <c r="G43" s="71"/>
      <c r="H43" s="54">
        <f t="shared" si="5"/>
        <v>0</v>
      </c>
    </row>
    <row r="44" spans="1:8" ht="30.6" x14ac:dyDescent="0.3">
      <c r="A44" s="51" t="s">
        <v>76</v>
      </c>
      <c r="B44" s="52" t="s">
        <v>10</v>
      </c>
      <c r="C44" s="53" t="s">
        <v>77</v>
      </c>
      <c r="D44" s="54">
        <v>140</v>
      </c>
      <c r="E44" s="54">
        <f>12.2*1.06</f>
        <v>12.93</v>
      </c>
      <c r="F44" s="54">
        <f t="shared" si="4"/>
        <v>1810.2</v>
      </c>
      <c r="G44" s="71"/>
      <c r="H44" s="54">
        <f t="shared" si="5"/>
        <v>0</v>
      </c>
    </row>
    <row r="45" spans="1:8" ht="20.399999999999999" x14ac:dyDescent="0.3">
      <c r="A45" s="51" t="s">
        <v>78</v>
      </c>
      <c r="B45" s="52" t="s">
        <v>10</v>
      </c>
      <c r="C45" s="53" t="s">
        <v>79</v>
      </c>
      <c r="D45" s="54">
        <v>140</v>
      </c>
      <c r="E45" s="54">
        <f>37.17*1.06</f>
        <v>39.4</v>
      </c>
      <c r="F45" s="54">
        <f t="shared" si="4"/>
        <v>5516</v>
      </c>
      <c r="G45" s="71"/>
      <c r="H45" s="54">
        <f t="shared" si="5"/>
        <v>0</v>
      </c>
    </row>
    <row r="46" spans="1:8" ht="20.399999999999999" x14ac:dyDescent="0.3">
      <c r="A46" s="51" t="s">
        <v>80</v>
      </c>
      <c r="B46" s="52" t="s">
        <v>19</v>
      </c>
      <c r="C46" s="53" t="s">
        <v>81</v>
      </c>
      <c r="D46" s="54">
        <v>1</v>
      </c>
      <c r="E46" s="54">
        <f>1415.09*1.06</f>
        <v>1500</v>
      </c>
      <c r="F46" s="54">
        <f>ROUND(D46*E46,2)</f>
        <v>1500</v>
      </c>
      <c r="G46" s="54">
        <f>1415.09*1.06</f>
        <v>1500</v>
      </c>
      <c r="H46" s="54">
        <f t="shared" si="5"/>
        <v>1500</v>
      </c>
    </row>
    <row r="47" spans="1:8" x14ac:dyDescent="0.3">
      <c r="A47" s="55"/>
      <c r="B47" s="55"/>
      <c r="C47" s="56" t="s">
        <v>82</v>
      </c>
      <c r="D47" s="67">
        <v>1</v>
      </c>
      <c r="E47" s="68">
        <f>SUM(F34:F46)</f>
        <v>64294.5</v>
      </c>
      <c r="F47" s="68">
        <f>ROUND(D47*E47,2)</f>
        <v>64294.5</v>
      </c>
      <c r="G47" s="68">
        <f>SUM(H34:H46)</f>
        <v>1500</v>
      </c>
      <c r="H47" s="68">
        <f t="shared" si="5"/>
        <v>1500</v>
      </c>
    </row>
    <row r="48" spans="1:8" ht="1.05" customHeight="1" x14ac:dyDescent="0.3">
      <c r="A48" s="59"/>
      <c r="B48" s="59"/>
      <c r="C48" s="60"/>
      <c r="D48" s="69"/>
      <c r="E48" s="69"/>
      <c r="F48" s="69"/>
      <c r="G48" s="69"/>
      <c r="H48" s="69"/>
    </row>
    <row r="49" spans="1:8" x14ac:dyDescent="0.3">
      <c r="A49" s="64" t="s">
        <v>83</v>
      </c>
      <c r="B49" s="64" t="s">
        <v>4</v>
      </c>
      <c r="C49" s="65" t="s">
        <v>84</v>
      </c>
      <c r="D49" s="66">
        <f>D52</f>
        <v>1</v>
      </c>
      <c r="E49" s="66">
        <f>E52</f>
        <v>12202.24</v>
      </c>
      <c r="F49" s="66">
        <f>F52</f>
        <v>12202.24</v>
      </c>
      <c r="G49" s="66">
        <f>G52</f>
        <v>0</v>
      </c>
      <c r="H49" s="66">
        <f>H52</f>
        <v>0</v>
      </c>
    </row>
    <row r="50" spans="1:8" ht="20.399999999999999" x14ac:dyDescent="0.3">
      <c r="A50" s="51" t="s">
        <v>85</v>
      </c>
      <c r="B50" s="52" t="s">
        <v>10</v>
      </c>
      <c r="C50" s="53" t="s">
        <v>86</v>
      </c>
      <c r="D50" s="54">
        <v>28</v>
      </c>
      <c r="E50" s="54">
        <f>235.81*1.06</f>
        <v>249.96</v>
      </c>
      <c r="F50" s="54">
        <f>ROUND(D50*E50,2)</f>
        <v>6998.88</v>
      </c>
      <c r="G50" s="71"/>
      <c r="H50" s="54">
        <f>ROUND(D50*G50,2)</f>
        <v>0</v>
      </c>
    </row>
    <row r="51" spans="1:8" ht="30.6" x14ac:dyDescent="0.3">
      <c r="A51" s="51" t="s">
        <v>87</v>
      </c>
      <c r="B51" s="52" t="s">
        <v>10</v>
      </c>
      <c r="C51" s="53" t="s">
        <v>88</v>
      </c>
      <c r="D51" s="54">
        <v>16</v>
      </c>
      <c r="E51" s="54">
        <f>306.8*1.06</f>
        <v>325.20999999999998</v>
      </c>
      <c r="F51" s="54">
        <f>ROUND(D51*E51,2)</f>
        <v>5203.3599999999997</v>
      </c>
      <c r="G51" s="71"/>
      <c r="H51" s="54">
        <f>ROUND(D51*G51,2)</f>
        <v>0</v>
      </c>
    </row>
    <row r="52" spans="1:8" x14ac:dyDescent="0.3">
      <c r="A52" s="55"/>
      <c r="B52" s="55"/>
      <c r="C52" s="56" t="s">
        <v>89</v>
      </c>
      <c r="D52" s="67">
        <v>1</v>
      </c>
      <c r="E52" s="68">
        <f>SUM(F50:F51)</f>
        <v>12202.24</v>
      </c>
      <c r="F52" s="68">
        <f>ROUND(D52*E52,2)</f>
        <v>12202.24</v>
      </c>
      <c r="G52" s="68">
        <f>SUM(H50:H51)</f>
        <v>0</v>
      </c>
      <c r="H52" s="68">
        <f>ROUND(D52*G52,2)</f>
        <v>0</v>
      </c>
    </row>
    <row r="53" spans="1:8" ht="1.05" customHeight="1" x14ac:dyDescent="0.3">
      <c r="A53" s="59"/>
      <c r="B53" s="59"/>
      <c r="C53" s="60"/>
      <c r="D53" s="69"/>
      <c r="E53" s="69"/>
      <c r="F53" s="69"/>
      <c r="G53" s="69"/>
      <c r="H53" s="69"/>
    </row>
    <row r="54" spans="1:8" x14ac:dyDescent="0.3">
      <c r="A54" s="64" t="s">
        <v>90</v>
      </c>
      <c r="B54" s="64" t="s">
        <v>4</v>
      </c>
      <c r="C54" s="65" t="s">
        <v>91</v>
      </c>
      <c r="D54" s="66">
        <f>D56</f>
        <v>1</v>
      </c>
      <c r="E54" s="66">
        <f>E56</f>
        <v>21997.91</v>
      </c>
      <c r="F54" s="66">
        <f>F56</f>
        <v>21997.91</v>
      </c>
      <c r="G54" s="66">
        <f>G56</f>
        <v>0</v>
      </c>
      <c r="H54" s="66">
        <f>H56</f>
        <v>0</v>
      </c>
    </row>
    <row r="55" spans="1:8" ht="30.6" x14ac:dyDescent="0.3">
      <c r="A55" s="51" t="s">
        <v>92</v>
      </c>
      <c r="B55" s="52" t="s">
        <v>36</v>
      </c>
      <c r="C55" s="53" t="s">
        <v>93</v>
      </c>
      <c r="D55" s="54">
        <v>102.54</v>
      </c>
      <c r="E55" s="54">
        <f>202.39*1.06</f>
        <v>214.53</v>
      </c>
      <c r="F55" s="54">
        <f>ROUND(D55*E55,2)</f>
        <v>21997.91</v>
      </c>
      <c r="G55" s="71"/>
      <c r="H55" s="54">
        <f>ROUND(D55*G55,2)</f>
        <v>0</v>
      </c>
    </row>
    <row r="56" spans="1:8" x14ac:dyDescent="0.3">
      <c r="A56" s="55"/>
      <c r="B56" s="55"/>
      <c r="C56" s="56" t="s">
        <v>94</v>
      </c>
      <c r="D56" s="67">
        <v>1</v>
      </c>
      <c r="E56" s="68">
        <f>F55</f>
        <v>21997.91</v>
      </c>
      <c r="F56" s="68">
        <f>ROUND(D56*E56,2)</f>
        <v>21997.91</v>
      </c>
      <c r="G56" s="68">
        <f>H55</f>
        <v>0</v>
      </c>
      <c r="H56" s="68">
        <f>ROUND(D56*G56,2)</f>
        <v>0</v>
      </c>
    </row>
    <row r="57" spans="1:8" ht="1.05" customHeight="1" x14ac:dyDescent="0.3">
      <c r="A57" s="59"/>
      <c r="B57" s="59"/>
      <c r="C57" s="60"/>
      <c r="D57" s="69"/>
      <c r="E57" s="69"/>
      <c r="F57" s="69"/>
      <c r="G57" s="69"/>
      <c r="H57" s="69"/>
    </row>
    <row r="58" spans="1:8" x14ac:dyDescent="0.3">
      <c r="A58" s="64" t="s">
        <v>95</v>
      </c>
      <c r="B58" s="64" t="s">
        <v>4</v>
      </c>
      <c r="C58" s="65" t="s">
        <v>96</v>
      </c>
      <c r="D58" s="66">
        <f>D63</f>
        <v>1</v>
      </c>
      <c r="E58" s="66">
        <f>E63</f>
        <v>4060.3</v>
      </c>
      <c r="F58" s="66">
        <f>F63</f>
        <v>4060.3</v>
      </c>
      <c r="G58" s="66">
        <f>G63</f>
        <v>1500</v>
      </c>
      <c r="H58" s="66">
        <f>H63</f>
        <v>1500</v>
      </c>
    </row>
    <row r="59" spans="1:8" ht="20.399999999999999" x14ac:dyDescent="0.3">
      <c r="A59" s="51" t="s">
        <v>97</v>
      </c>
      <c r="B59" s="52" t="s">
        <v>10</v>
      </c>
      <c r="C59" s="53" t="s">
        <v>98</v>
      </c>
      <c r="D59" s="54">
        <v>58</v>
      </c>
      <c r="E59" s="54">
        <f>23.21*1.06</f>
        <v>24.6</v>
      </c>
      <c r="F59" s="54">
        <f>ROUND(D59*E59,2)</f>
        <v>1426.8</v>
      </c>
      <c r="G59" s="71"/>
      <c r="H59" s="54">
        <f>ROUND(D59*G59,2)</f>
        <v>0</v>
      </c>
    </row>
    <row r="60" spans="1:8" ht="20.399999999999999" x14ac:dyDescent="0.3">
      <c r="A60" s="51" t="s">
        <v>99</v>
      </c>
      <c r="B60" s="52" t="s">
        <v>10</v>
      </c>
      <c r="C60" s="53" t="s">
        <v>100</v>
      </c>
      <c r="D60" s="54">
        <v>4</v>
      </c>
      <c r="E60" s="54">
        <f>215.78*1.06</f>
        <v>228.73</v>
      </c>
      <c r="F60" s="54">
        <f>ROUND(D60*E60,2)</f>
        <v>914.92</v>
      </c>
      <c r="G60" s="71"/>
      <c r="H60" s="54">
        <f>ROUND(D60*G60,2)</f>
        <v>0</v>
      </c>
    </row>
    <row r="61" spans="1:8" x14ac:dyDescent="0.3">
      <c r="A61" s="51" t="s">
        <v>101</v>
      </c>
      <c r="B61" s="52" t="s">
        <v>7</v>
      </c>
      <c r="C61" s="53" t="s">
        <v>102</v>
      </c>
      <c r="D61" s="54">
        <v>6</v>
      </c>
      <c r="E61" s="54">
        <f>34.37*1.06</f>
        <v>36.43</v>
      </c>
      <c r="F61" s="54">
        <f>ROUND(D61*E61,2)</f>
        <v>218.58</v>
      </c>
      <c r="G61" s="71"/>
      <c r="H61" s="54">
        <f>ROUND(D61*G61,2)</f>
        <v>0</v>
      </c>
    </row>
    <row r="62" spans="1:8" ht="20.399999999999999" x14ac:dyDescent="0.3">
      <c r="A62" s="51" t="s">
        <v>103</v>
      </c>
      <c r="B62" s="52" t="s">
        <v>19</v>
      </c>
      <c r="C62" s="53" t="s">
        <v>104</v>
      </c>
      <c r="D62" s="54">
        <v>1</v>
      </c>
      <c r="E62" s="54">
        <f>1415.09*1.06</f>
        <v>1500</v>
      </c>
      <c r="F62" s="54">
        <f>ROUND(D62*E62,2)</f>
        <v>1500</v>
      </c>
      <c r="G62" s="54">
        <f>1415.09*1.06</f>
        <v>1500</v>
      </c>
      <c r="H62" s="54">
        <f>ROUND(D62*G62,2)</f>
        <v>1500</v>
      </c>
    </row>
    <row r="63" spans="1:8" x14ac:dyDescent="0.3">
      <c r="A63" s="55"/>
      <c r="B63" s="55"/>
      <c r="C63" s="56" t="s">
        <v>105</v>
      </c>
      <c r="D63" s="67">
        <v>1</v>
      </c>
      <c r="E63" s="68">
        <f>SUM(F59:F62)</f>
        <v>4060.3</v>
      </c>
      <c r="F63" s="68">
        <f>ROUND(D63*E63,2)</f>
        <v>4060.3</v>
      </c>
      <c r="G63" s="68">
        <f>SUM(H59:H62)</f>
        <v>1500</v>
      </c>
      <c r="H63" s="68">
        <f>ROUND(D63*G63,2)</f>
        <v>1500</v>
      </c>
    </row>
    <row r="64" spans="1:8" ht="1.05" customHeight="1" x14ac:dyDescent="0.3">
      <c r="A64" s="59"/>
      <c r="B64" s="59"/>
      <c r="C64" s="60"/>
      <c r="D64" s="69"/>
      <c r="E64" s="69"/>
      <c r="F64" s="69"/>
      <c r="G64" s="69"/>
      <c r="H64" s="69"/>
    </row>
    <row r="65" spans="1:8" x14ac:dyDescent="0.3">
      <c r="A65" s="64" t="s">
        <v>106</v>
      </c>
      <c r="B65" s="64" t="s">
        <v>4</v>
      </c>
      <c r="C65" s="65" t="s">
        <v>107</v>
      </c>
      <c r="D65" s="66">
        <f>D69</f>
        <v>1</v>
      </c>
      <c r="E65" s="66">
        <f>E69</f>
        <v>7238.52</v>
      </c>
      <c r="F65" s="66">
        <f>F69</f>
        <v>7238.52</v>
      </c>
      <c r="G65" s="66">
        <f>G69</f>
        <v>0</v>
      </c>
      <c r="H65" s="66">
        <f>H69</f>
        <v>0</v>
      </c>
    </row>
    <row r="66" spans="1:8" ht="20.399999999999999" x14ac:dyDescent="0.3">
      <c r="A66" s="51" t="s">
        <v>108</v>
      </c>
      <c r="B66" s="52" t="s">
        <v>10</v>
      </c>
      <c r="C66" s="53" t="s">
        <v>109</v>
      </c>
      <c r="D66" s="54">
        <v>1</v>
      </c>
      <c r="E66" s="54">
        <f>1034.11*1.06</f>
        <v>1096.1600000000001</v>
      </c>
      <c r="F66" s="54">
        <f>ROUND(D66*E66,2)</f>
        <v>1096.1600000000001</v>
      </c>
      <c r="G66" s="71"/>
      <c r="H66" s="54">
        <f>ROUND(D66*G66,2)</f>
        <v>0</v>
      </c>
    </row>
    <row r="67" spans="1:8" ht="20.399999999999999" x14ac:dyDescent="0.3">
      <c r="A67" s="51" t="s">
        <v>110</v>
      </c>
      <c r="B67" s="52" t="s">
        <v>7</v>
      </c>
      <c r="C67" s="53" t="s">
        <v>111</v>
      </c>
      <c r="D67" s="54">
        <v>166</v>
      </c>
      <c r="E67" s="54">
        <f>26.61*1.06</f>
        <v>28.21</v>
      </c>
      <c r="F67" s="54">
        <f>ROUND(D67*E67,2)</f>
        <v>4682.8599999999997</v>
      </c>
      <c r="G67" s="71"/>
      <c r="H67" s="54">
        <f>ROUND(D67*G67,2)</f>
        <v>0</v>
      </c>
    </row>
    <row r="68" spans="1:8" ht="30.6" x14ac:dyDescent="0.3">
      <c r="A68" s="51" t="s">
        <v>112</v>
      </c>
      <c r="B68" s="52" t="s">
        <v>7</v>
      </c>
      <c r="C68" s="53" t="s">
        <v>113</v>
      </c>
      <c r="D68" s="67">
        <v>50</v>
      </c>
      <c r="E68" s="67">
        <f>27.54*1.06</f>
        <v>29.19</v>
      </c>
      <c r="F68" s="67">
        <f>ROUND(D68*E68,2)</f>
        <v>1459.5</v>
      </c>
      <c r="G68" s="72"/>
      <c r="H68" s="67">
        <f>ROUND(D68*G68,2)</f>
        <v>0</v>
      </c>
    </row>
    <row r="69" spans="1:8" x14ac:dyDescent="0.3">
      <c r="A69" s="55"/>
      <c r="B69" s="55"/>
      <c r="C69" s="56" t="s">
        <v>114</v>
      </c>
      <c r="D69" s="67">
        <v>1</v>
      </c>
      <c r="E69" s="68">
        <f>SUM(F66:F68)</f>
        <v>7238.52</v>
      </c>
      <c r="F69" s="68">
        <f>ROUND(D69*E69,2)</f>
        <v>7238.52</v>
      </c>
      <c r="G69" s="68">
        <f>SUM(H66:H68)</f>
        <v>0</v>
      </c>
      <c r="H69" s="68">
        <f>ROUND(D69*G69,2)</f>
        <v>0</v>
      </c>
    </row>
    <row r="70" spans="1:8" ht="1.05" customHeight="1" x14ac:dyDescent="0.3">
      <c r="A70" s="59"/>
      <c r="B70" s="59"/>
      <c r="C70" s="60"/>
      <c r="D70" s="69"/>
      <c r="E70" s="69"/>
      <c r="F70" s="69"/>
      <c r="G70" s="69"/>
      <c r="H70" s="69"/>
    </row>
    <row r="71" spans="1:8" x14ac:dyDescent="0.3">
      <c r="A71" s="64" t="s">
        <v>115</v>
      </c>
      <c r="B71" s="64" t="s">
        <v>4</v>
      </c>
      <c r="C71" s="65" t="s">
        <v>116</v>
      </c>
      <c r="D71" s="66">
        <f>D73</f>
        <v>1</v>
      </c>
      <c r="E71" s="66">
        <f>E73</f>
        <v>95.64</v>
      </c>
      <c r="F71" s="66">
        <f>F73</f>
        <v>95.64</v>
      </c>
      <c r="G71" s="66">
        <f>G73</f>
        <v>0</v>
      </c>
      <c r="H71" s="66">
        <f>H73</f>
        <v>0</v>
      </c>
    </row>
    <row r="72" spans="1:8" ht="20.399999999999999" x14ac:dyDescent="0.3">
      <c r="A72" s="51" t="s">
        <v>117</v>
      </c>
      <c r="B72" s="52" t="s">
        <v>10</v>
      </c>
      <c r="C72" s="53" t="s">
        <v>118</v>
      </c>
      <c r="D72" s="54">
        <v>6</v>
      </c>
      <c r="E72" s="54">
        <f>15.04*1.06</f>
        <v>15.94</v>
      </c>
      <c r="F72" s="54">
        <f>ROUND(D72*E72,2)</f>
        <v>95.64</v>
      </c>
      <c r="G72" s="71"/>
      <c r="H72" s="54">
        <f>ROUND(D72*G72,2)</f>
        <v>0</v>
      </c>
    </row>
    <row r="73" spans="1:8" x14ac:dyDescent="0.3">
      <c r="A73" s="55"/>
      <c r="B73" s="55"/>
      <c r="C73" s="56" t="s">
        <v>119</v>
      </c>
      <c r="D73" s="54">
        <v>1</v>
      </c>
      <c r="E73" s="68">
        <f>F72</f>
        <v>95.64</v>
      </c>
      <c r="F73" s="68">
        <f>ROUND(D73*E73,2)</f>
        <v>95.64</v>
      </c>
      <c r="G73" s="68">
        <f>H72</f>
        <v>0</v>
      </c>
      <c r="H73" s="68">
        <f>ROUND(D73*G73,2)</f>
        <v>0</v>
      </c>
    </row>
    <row r="74" spans="1:8" ht="1.05" customHeight="1" x14ac:dyDescent="0.3">
      <c r="A74" s="59"/>
      <c r="B74" s="59"/>
      <c r="C74" s="60"/>
      <c r="D74" s="59"/>
      <c r="E74" s="59"/>
      <c r="F74" s="59"/>
      <c r="G74" s="59"/>
      <c r="H74" s="59"/>
    </row>
    <row r="75" spans="1:8" x14ac:dyDescent="0.3">
      <c r="A75" s="55"/>
      <c r="B75" s="55"/>
      <c r="C75" s="56" t="s">
        <v>120</v>
      </c>
      <c r="D75" s="70">
        <v>1</v>
      </c>
      <c r="E75" s="68">
        <f>F33+F49+F54+F58+F65+F71</f>
        <v>109889.11</v>
      </c>
      <c r="F75" s="68">
        <f>ROUND(D75*E75,2)</f>
        <v>109889.11</v>
      </c>
      <c r="G75" s="68">
        <f>H33+H49+H54+H58+H65+H71</f>
        <v>3000</v>
      </c>
      <c r="H75" s="68">
        <f>ROUND(D75*G75,2)</f>
        <v>3000</v>
      </c>
    </row>
    <row r="76" spans="1:8" ht="1.05" customHeight="1" x14ac:dyDescent="0.3">
      <c r="A76" s="59"/>
      <c r="B76" s="59"/>
      <c r="C76" s="60"/>
      <c r="D76" s="69"/>
      <c r="E76" s="69"/>
      <c r="F76" s="69"/>
      <c r="G76" s="69"/>
      <c r="H76" s="69"/>
    </row>
    <row r="77" spans="1:8" x14ac:dyDescent="0.3">
      <c r="A77" s="47" t="s">
        <v>121</v>
      </c>
      <c r="B77" s="47" t="s">
        <v>4</v>
      </c>
      <c r="C77" s="48" t="s">
        <v>122</v>
      </c>
      <c r="D77" s="62">
        <f>D81</f>
        <v>1</v>
      </c>
      <c r="E77" s="63">
        <f>E81</f>
        <v>899.38</v>
      </c>
      <c r="F77" s="63">
        <f>F81</f>
        <v>899.38</v>
      </c>
      <c r="G77" s="63">
        <f>G81</f>
        <v>0</v>
      </c>
      <c r="H77" s="63">
        <f>H81</f>
        <v>0</v>
      </c>
    </row>
    <row r="78" spans="1:8" ht="20.399999999999999" x14ac:dyDescent="0.3">
      <c r="A78" s="51" t="s">
        <v>123</v>
      </c>
      <c r="B78" s="52" t="s">
        <v>7</v>
      </c>
      <c r="C78" s="53" t="s">
        <v>124</v>
      </c>
      <c r="D78" s="54">
        <v>53</v>
      </c>
      <c r="E78" s="54">
        <f>11.81*1.06</f>
        <v>12.52</v>
      </c>
      <c r="F78" s="54">
        <f>ROUND(D78*E78,2)</f>
        <v>663.56</v>
      </c>
      <c r="G78" s="71"/>
      <c r="H78" s="54">
        <f>ROUND(D78*G78,2)</f>
        <v>0</v>
      </c>
    </row>
    <row r="79" spans="1:8" ht="20.399999999999999" x14ac:dyDescent="0.3">
      <c r="A79" s="51" t="s">
        <v>125</v>
      </c>
      <c r="B79" s="52" t="s">
        <v>7</v>
      </c>
      <c r="C79" s="53" t="s">
        <v>126</v>
      </c>
      <c r="D79" s="54">
        <v>40</v>
      </c>
      <c r="E79" s="54">
        <f>5.11*1.06</f>
        <v>5.42</v>
      </c>
      <c r="F79" s="54">
        <f>ROUND(D79*E79,2)</f>
        <v>216.8</v>
      </c>
      <c r="G79" s="71"/>
      <c r="H79" s="54">
        <f>ROUND(D79*G79,2)</f>
        <v>0</v>
      </c>
    </row>
    <row r="80" spans="1:8" ht="20.399999999999999" x14ac:dyDescent="0.3">
      <c r="A80" s="51" t="s">
        <v>127</v>
      </c>
      <c r="B80" s="52" t="s">
        <v>10</v>
      </c>
      <c r="C80" s="53" t="s">
        <v>128</v>
      </c>
      <c r="D80" s="54">
        <v>6</v>
      </c>
      <c r="E80" s="54">
        <f>2.99*1.06</f>
        <v>3.17</v>
      </c>
      <c r="F80" s="54">
        <f>ROUND(D80*E80,2)</f>
        <v>19.02</v>
      </c>
      <c r="G80" s="71"/>
      <c r="H80" s="54">
        <f>ROUND(D80*G80,2)</f>
        <v>0</v>
      </c>
    </row>
    <row r="81" spans="1:8" x14ac:dyDescent="0.3">
      <c r="A81" s="55"/>
      <c r="B81" s="55"/>
      <c r="C81" s="56" t="s">
        <v>129</v>
      </c>
      <c r="D81" s="70">
        <v>1</v>
      </c>
      <c r="E81" s="68">
        <f>SUM(F78:F80)</f>
        <v>899.38</v>
      </c>
      <c r="F81" s="68">
        <f>ROUND(D81*E81,2)</f>
        <v>899.38</v>
      </c>
      <c r="G81" s="68">
        <f>SUM(H78:H80)</f>
        <v>0</v>
      </c>
      <c r="H81" s="68">
        <f>ROUND(D81*G81,2)</f>
        <v>0</v>
      </c>
    </row>
    <row r="82" spans="1:8" ht="1.05" customHeight="1" x14ac:dyDescent="0.3">
      <c r="A82" s="59"/>
      <c r="B82" s="59"/>
      <c r="C82" s="60"/>
      <c r="D82" s="69"/>
      <c r="E82" s="69"/>
      <c r="F82" s="69"/>
      <c r="G82" s="69"/>
      <c r="H82" s="69"/>
    </row>
    <row r="83" spans="1:8" x14ac:dyDescent="0.3">
      <c r="A83" s="47" t="s">
        <v>130</v>
      </c>
      <c r="B83" s="47" t="s">
        <v>4</v>
      </c>
      <c r="C83" s="48" t="s">
        <v>131</v>
      </c>
      <c r="D83" s="62">
        <f>D88</f>
        <v>1</v>
      </c>
      <c r="E83" s="63">
        <f>E88</f>
        <v>3877.31</v>
      </c>
      <c r="F83" s="63">
        <f>F88</f>
        <v>3877.31</v>
      </c>
      <c r="G83" s="63">
        <f>G88</f>
        <v>0</v>
      </c>
      <c r="H83" s="63">
        <f>H88</f>
        <v>0</v>
      </c>
    </row>
    <row r="84" spans="1:8" x14ac:dyDescent="0.3">
      <c r="A84" s="51" t="s">
        <v>132</v>
      </c>
      <c r="B84" s="52" t="s">
        <v>10</v>
      </c>
      <c r="C84" s="53" t="s">
        <v>133</v>
      </c>
      <c r="D84" s="67">
        <v>27</v>
      </c>
      <c r="E84" s="67">
        <f>83.32*1.06</f>
        <v>88.32</v>
      </c>
      <c r="F84" s="54">
        <f>ROUND(D84*E84,2)</f>
        <v>2384.64</v>
      </c>
      <c r="G84" s="72"/>
      <c r="H84" s="67">
        <f>ROUND(D84*G84,2)</f>
        <v>0</v>
      </c>
    </row>
    <row r="85" spans="1:8" x14ac:dyDescent="0.3">
      <c r="A85" s="51" t="s">
        <v>134</v>
      </c>
      <c r="B85" s="52" t="s">
        <v>135</v>
      </c>
      <c r="C85" s="53" t="s">
        <v>136</v>
      </c>
      <c r="D85" s="67">
        <v>164.81</v>
      </c>
      <c r="E85" s="67">
        <f>12.6*1.06</f>
        <v>13.36</v>
      </c>
      <c r="F85" s="54">
        <f>ROUND(D85*E85,2)</f>
        <v>2201.86</v>
      </c>
      <c r="G85" s="72"/>
      <c r="H85" s="67">
        <f>ROUND(D85*G85,2)</f>
        <v>0</v>
      </c>
    </row>
    <row r="86" spans="1:8" ht="20.399999999999999" x14ac:dyDescent="0.3">
      <c r="A86" s="51" t="s">
        <v>137</v>
      </c>
      <c r="B86" s="52" t="s">
        <v>7</v>
      </c>
      <c r="C86" s="53" t="s">
        <v>138</v>
      </c>
      <c r="D86" s="67">
        <v>191</v>
      </c>
      <c r="E86" s="67">
        <f>1.55*1.06</f>
        <v>1.64</v>
      </c>
      <c r="F86" s="54">
        <f>ROUND(D86*E86,2)</f>
        <v>313.24</v>
      </c>
      <c r="G86" s="72"/>
      <c r="H86" s="67">
        <f>ROUND(D86*G86,2)</f>
        <v>0</v>
      </c>
    </row>
    <row r="87" spans="1:8" x14ac:dyDescent="0.3">
      <c r="A87" s="51" t="s">
        <v>139</v>
      </c>
      <c r="B87" s="52" t="s">
        <v>135</v>
      </c>
      <c r="C87" s="53" t="s">
        <v>140</v>
      </c>
      <c r="D87" s="67">
        <v>9.8000000000000007</v>
      </c>
      <c r="E87" s="67">
        <f>-98.42*1.06</f>
        <v>-104.33</v>
      </c>
      <c r="F87" s="67">
        <f>ROUND(D87*E87,2)</f>
        <v>-1022.43</v>
      </c>
      <c r="G87" s="72"/>
      <c r="H87" s="67">
        <f>ROUND(D87*G87,2)</f>
        <v>0</v>
      </c>
    </row>
    <row r="88" spans="1:8" x14ac:dyDescent="0.3">
      <c r="A88" s="55"/>
      <c r="B88" s="55"/>
      <c r="C88" s="56" t="s">
        <v>141</v>
      </c>
      <c r="D88" s="70">
        <v>1</v>
      </c>
      <c r="E88" s="68">
        <f>SUM(F84:F87)</f>
        <v>3877.31</v>
      </c>
      <c r="F88" s="68">
        <f>ROUND(D88*E88,2)</f>
        <v>3877.31</v>
      </c>
      <c r="G88" s="68">
        <f>SUM(H84:H87)</f>
        <v>0</v>
      </c>
      <c r="H88" s="68">
        <f>ROUND(D88*G88,2)</f>
        <v>0</v>
      </c>
    </row>
    <row r="89" spans="1:8" ht="1.05" customHeight="1" x14ac:dyDescent="0.3">
      <c r="A89" s="59"/>
      <c r="B89" s="59"/>
      <c r="C89" s="60"/>
      <c r="D89" s="69"/>
      <c r="E89" s="69"/>
      <c r="F89" s="69"/>
      <c r="G89" s="69"/>
      <c r="H89" s="69"/>
    </row>
    <row r="90" spans="1:8" x14ac:dyDescent="0.3">
      <c r="A90" s="47" t="s">
        <v>142</v>
      </c>
      <c r="B90" s="47" t="s">
        <v>4</v>
      </c>
      <c r="C90" s="48" t="s">
        <v>143</v>
      </c>
      <c r="D90" s="62">
        <v>1</v>
      </c>
      <c r="E90" s="63">
        <v>0</v>
      </c>
      <c r="F90" s="63">
        <f>ROUND(D90*E90,2)</f>
        <v>0</v>
      </c>
      <c r="G90" s="75"/>
      <c r="H90" s="63">
        <f>ROUND(F90*G90,2)</f>
        <v>0</v>
      </c>
    </row>
    <row r="91" spans="1:8" ht="15" thickBot="1" x14ac:dyDescent="0.35">
      <c r="A91" s="2"/>
      <c r="B91" s="3"/>
      <c r="C91" s="4" t="s">
        <v>148</v>
      </c>
      <c r="D91" s="5">
        <v>1</v>
      </c>
      <c r="E91" s="42">
        <f>F90+F83+F77+F32+F13+F4</f>
        <v>159141.66</v>
      </c>
      <c r="F91" s="6">
        <f>ROUND(D91*E91,2)</f>
        <v>159141.66</v>
      </c>
      <c r="G91" s="42">
        <f>H90+H83+H77+H32+H13+H4</f>
        <v>4500</v>
      </c>
      <c r="H91" s="6">
        <f>ROUND(D91*G91,2)</f>
        <v>4500</v>
      </c>
    </row>
    <row r="92" spans="1:8" x14ac:dyDescent="0.3">
      <c r="A92" s="7"/>
      <c r="B92" s="8" t="s">
        <v>149</v>
      </c>
      <c r="C92" s="9" t="s">
        <v>150</v>
      </c>
      <c r="D92" s="10">
        <v>1</v>
      </c>
      <c r="E92" s="43">
        <v>0.13</v>
      </c>
      <c r="F92" s="11">
        <f>E92*E91</f>
        <v>20688.419999999998</v>
      </c>
      <c r="G92" s="76">
        <v>0.13</v>
      </c>
      <c r="H92" s="12">
        <f>H91*G92</f>
        <v>585</v>
      </c>
    </row>
    <row r="93" spans="1:8" ht="15" thickBot="1" x14ac:dyDescent="0.35">
      <c r="A93" s="13"/>
      <c r="B93" s="14"/>
      <c r="C93" s="15" t="s">
        <v>151</v>
      </c>
      <c r="D93" s="16">
        <v>1</v>
      </c>
      <c r="E93" s="44">
        <v>0.06</v>
      </c>
      <c r="F93" s="17">
        <f>F91*E93</f>
        <v>9548.5</v>
      </c>
      <c r="G93" s="77">
        <v>0.06</v>
      </c>
      <c r="H93" s="17">
        <f>H91*G93</f>
        <v>270</v>
      </c>
    </row>
    <row r="94" spans="1:8" ht="27.6" customHeight="1" thickBot="1" x14ac:dyDescent="0.35">
      <c r="A94" s="18"/>
      <c r="B94" s="19"/>
      <c r="C94" s="15" t="s">
        <v>152</v>
      </c>
      <c r="D94" s="20"/>
      <c r="E94" s="21"/>
      <c r="F94" s="22">
        <f>F91+F92+F93</f>
        <v>189378.58</v>
      </c>
      <c r="G94" s="23"/>
      <c r="H94" s="22">
        <f>H91+H92+H93</f>
        <v>5355</v>
      </c>
    </row>
    <row r="95" spans="1:8" ht="17.399999999999999" x14ac:dyDescent="0.3">
      <c r="A95" s="24"/>
      <c r="B95" s="25"/>
      <c r="C95" s="26" t="s">
        <v>153</v>
      </c>
      <c r="D95" s="27"/>
      <c r="E95" s="28"/>
      <c r="F95" s="29">
        <f>F94*0.21</f>
        <v>39769.5</v>
      </c>
      <c r="G95" s="30"/>
      <c r="H95" s="29">
        <f>H94*0.21</f>
        <v>1124.55</v>
      </c>
    </row>
    <row r="96" spans="1:8" ht="18" thickBot="1" x14ac:dyDescent="0.35">
      <c r="A96" s="31"/>
      <c r="B96" s="32"/>
      <c r="C96" s="33" t="s">
        <v>154</v>
      </c>
      <c r="D96" s="34"/>
      <c r="E96" s="35"/>
      <c r="F96" s="36">
        <f>F95+F94</f>
        <v>229148.08</v>
      </c>
      <c r="G96" s="37"/>
      <c r="H96" s="36">
        <f>H95+H94</f>
        <v>6479.55</v>
      </c>
    </row>
    <row r="97" spans="1:8" ht="69.599999999999994" customHeight="1" thickBot="1" x14ac:dyDescent="0.35">
      <c r="A97" s="78" t="s">
        <v>155</v>
      </c>
      <c r="B97" s="79"/>
      <c r="C97" s="38"/>
      <c r="D97" s="39" t="s">
        <v>156</v>
      </c>
      <c r="E97" s="96"/>
      <c r="F97" s="97"/>
      <c r="G97" s="97"/>
      <c r="H97" s="98"/>
    </row>
    <row r="98" spans="1:8" ht="67.8" customHeight="1" thickBot="1" x14ac:dyDescent="0.35">
      <c r="A98" s="78" t="s">
        <v>157</v>
      </c>
      <c r="B98" s="79"/>
      <c r="C98" s="40"/>
      <c r="D98" s="39" t="s">
        <v>158</v>
      </c>
      <c r="E98" s="80"/>
      <c r="F98" s="81"/>
      <c r="G98" s="81"/>
      <c r="H98" s="82"/>
    </row>
    <row r="99" spans="1:8" ht="52.8" customHeight="1" thickBot="1" x14ac:dyDescent="0.35">
      <c r="A99" s="78" t="s">
        <v>159</v>
      </c>
      <c r="B99" s="79"/>
      <c r="C99" s="41"/>
      <c r="D99" s="39" t="s">
        <v>160</v>
      </c>
      <c r="E99" s="80"/>
      <c r="F99" s="81"/>
      <c r="G99" s="81"/>
      <c r="H99" s="82"/>
    </row>
    <row r="100" spans="1:8" ht="14.4" customHeight="1" x14ac:dyDescent="0.3">
      <c r="A100" s="83" t="s">
        <v>161</v>
      </c>
      <c r="B100" s="84"/>
      <c r="C100" s="89" t="s">
        <v>162</v>
      </c>
      <c r="D100" s="89"/>
      <c r="E100" s="89"/>
      <c r="F100" s="89"/>
      <c r="G100" s="89"/>
      <c r="H100" s="90"/>
    </row>
    <row r="101" spans="1:8" ht="14.4" customHeight="1" x14ac:dyDescent="0.3">
      <c r="A101" s="85"/>
      <c r="B101" s="86"/>
      <c r="C101" s="73"/>
      <c r="D101" s="73"/>
      <c r="E101" s="73"/>
      <c r="F101" s="73"/>
      <c r="G101" s="73"/>
      <c r="H101" s="74"/>
    </row>
    <row r="102" spans="1:8" ht="46.2" customHeight="1" x14ac:dyDescent="0.3">
      <c r="A102" s="85"/>
      <c r="B102" s="86"/>
      <c r="C102" s="91" t="s">
        <v>163</v>
      </c>
      <c r="D102" s="91"/>
      <c r="E102" s="91"/>
      <c r="F102" s="91"/>
      <c r="G102" s="91"/>
      <c r="H102" s="92"/>
    </row>
    <row r="103" spans="1:8" ht="46.2" customHeight="1" x14ac:dyDescent="0.3">
      <c r="A103" s="85"/>
      <c r="B103" s="86"/>
      <c r="C103" s="91" t="s">
        <v>167</v>
      </c>
      <c r="D103" s="91"/>
      <c r="E103" s="91"/>
      <c r="F103" s="91"/>
      <c r="G103" s="91"/>
      <c r="H103" s="92"/>
    </row>
    <row r="104" spans="1:8" ht="48" customHeight="1" x14ac:dyDescent="0.3">
      <c r="A104" s="85"/>
      <c r="B104" s="86"/>
      <c r="C104" s="91" t="s">
        <v>166</v>
      </c>
      <c r="D104" s="91"/>
      <c r="E104" s="91"/>
      <c r="F104" s="91"/>
      <c r="G104" s="91"/>
      <c r="H104" s="92"/>
    </row>
    <row r="105" spans="1:8" ht="55.8" customHeight="1" thickBot="1" x14ac:dyDescent="0.35">
      <c r="A105" s="87"/>
      <c r="B105" s="88"/>
      <c r="C105" s="93" t="s">
        <v>168</v>
      </c>
      <c r="D105" s="94"/>
      <c r="E105" s="94"/>
      <c r="F105" s="94"/>
      <c r="G105" s="94"/>
      <c r="H105" s="95"/>
    </row>
  </sheetData>
  <sheetProtection password="CDC8" sheet="1" objects="1" scenarios="1" selectLockedCells="1"/>
  <mergeCells count="16">
    <mergeCell ref="A97:B97"/>
    <mergeCell ref="E97:H97"/>
    <mergeCell ref="A98:B98"/>
    <mergeCell ref="E98:H98"/>
    <mergeCell ref="A1:H1"/>
    <mergeCell ref="A2:D2"/>
    <mergeCell ref="G2:H2"/>
    <mergeCell ref="E2:F2"/>
    <mergeCell ref="A99:B99"/>
    <mergeCell ref="E99:H99"/>
    <mergeCell ref="A100:B105"/>
    <mergeCell ref="C100:H100"/>
    <mergeCell ref="C102:H102"/>
    <mergeCell ref="C104:H104"/>
    <mergeCell ref="C105:H105"/>
    <mergeCell ref="C103:H103"/>
  </mergeCells>
  <conditionalFormatting sqref="G90">
    <cfRule type="cellIs" dxfId="49" priority="50" operator="lessThan">
      <formula>$F$86</formula>
    </cfRule>
  </conditionalFormatting>
  <conditionalFormatting sqref="G87">
    <cfRule type="cellIs" dxfId="48" priority="49" operator="greaterThan">
      <formula>$E$87</formula>
    </cfRule>
  </conditionalFormatting>
  <conditionalFormatting sqref="G92">
    <cfRule type="cellIs" dxfId="47" priority="48" operator="greaterThan">
      <formula>$E$92</formula>
    </cfRule>
  </conditionalFormatting>
  <conditionalFormatting sqref="G93">
    <cfRule type="cellIs" dxfId="46" priority="47" operator="greaterThan">
      <formula>$E$93</formula>
    </cfRule>
  </conditionalFormatting>
  <conditionalFormatting sqref="G5">
    <cfRule type="cellIs" dxfId="45" priority="46" operator="greaterThan">
      <formula>$E$5</formula>
    </cfRule>
  </conditionalFormatting>
  <conditionalFormatting sqref="G6">
    <cfRule type="cellIs" dxfId="44" priority="45" operator="greaterThan">
      <formula>$E$6</formula>
    </cfRule>
  </conditionalFormatting>
  <conditionalFormatting sqref="G7">
    <cfRule type="cellIs" dxfId="43" priority="44" operator="greaterThan">
      <formula>E$7</formula>
    </cfRule>
  </conditionalFormatting>
  <conditionalFormatting sqref="G8">
    <cfRule type="cellIs" dxfId="42" priority="43" operator="greaterThan">
      <formula>E$7</formula>
    </cfRule>
    <cfRule type="cellIs" dxfId="41" priority="41" operator="greaterThan">
      <formula>$E8</formula>
    </cfRule>
    <cfRule type="cellIs" dxfId="40" priority="40" operator="greaterThan">
      <formula>$E$8</formula>
    </cfRule>
  </conditionalFormatting>
  <conditionalFormatting sqref="G9">
    <cfRule type="cellIs" dxfId="39" priority="42" operator="greaterThan">
      <formula>E$7</formula>
    </cfRule>
    <cfRule type="cellIs" dxfId="38" priority="39" operator="greaterThan">
      <formula>$E$9</formula>
    </cfRule>
  </conditionalFormatting>
  <conditionalFormatting sqref="G15">
    <cfRule type="cellIs" dxfId="37" priority="38" operator="greaterThan">
      <formula>$E$15</formula>
    </cfRule>
  </conditionalFormatting>
  <conditionalFormatting sqref="G16">
    <cfRule type="cellIs" dxfId="36" priority="37" operator="greaterThan">
      <formula>$E$16</formula>
    </cfRule>
  </conditionalFormatting>
  <conditionalFormatting sqref="G20">
    <cfRule type="cellIs" dxfId="35" priority="36" operator="greaterThan">
      <formula>$E$20</formula>
    </cfRule>
  </conditionalFormatting>
  <conditionalFormatting sqref="G21">
    <cfRule type="cellIs" dxfId="34" priority="35" operator="greaterThan">
      <formula>$E$21</formula>
    </cfRule>
  </conditionalFormatting>
  <conditionalFormatting sqref="G22">
    <cfRule type="cellIs" dxfId="33" priority="34" operator="greaterThan">
      <formula>$E$22</formula>
    </cfRule>
  </conditionalFormatting>
  <conditionalFormatting sqref="G23">
    <cfRule type="cellIs" dxfId="32" priority="33" operator="greaterThan">
      <formula>$E$23</formula>
    </cfRule>
  </conditionalFormatting>
  <conditionalFormatting sqref="G24">
    <cfRule type="cellIs" dxfId="31" priority="32" operator="greaterThan">
      <formula>$E$24</formula>
    </cfRule>
  </conditionalFormatting>
  <conditionalFormatting sqref="G25">
    <cfRule type="cellIs" dxfId="30" priority="31" operator="greaterThan">
      <formula>$E$25</formula>
    </cfRule>
  </conditionalFormatting>
  <conditionalFormatting sqref="G26">
    <cfRule type="cellIs" dxfId="29" priority="30" operator="greaterThan">
      <formula>$E$26</formula>
    </cfRule>
  </conditionalFormatting>
  <conditionalFormatting sqref="G27">
    <cfRule type="cellIs" dxfId="28" priority="29" operator="greaterThan">
      <formula>$E$27</formula>
    </cfRule>
  </conditionalFormatting>
  <conditionalFormatting sqref="G34">
    <cfRule type="cellIs" dxfId="27" priority="28" operator="greaterThan">
      <formula>$E$34</formula>
    </cfRule>
  </conditionalFormatting>
  <conditionalFormatting sqref="G35">
    <cfRule type="cellIs" dxfId="26" priority="27" operator="greaterThan">
      <formula>$E$35</formula>
    </cfRule>
  </conditionalFormatting>
  <conditionalFormatting sqref="G36">
    <cfRule type="cellIs" dxfId="25" priority="26" operator="greaterThan">
      <formula>$E$36</formula>
    </cfRule>
  </conditionalFormatting>
  <conditionalFormatting sqref="G37">
    <cfRule type="cellIs" dxfId="24" priority="25" operator="greaterThan">
      <formula>$E$37</formula>
    </cfRule>
  </conditionalFormatting>
  <conditionalFormatting sqref="G38">
    <cfRule type="cellIs" dxfId="23" priority="24" operator="greaterThan">
      <formula>$E$38</formula>
    </cfRule>
  </conditionalFormatting>
  <conditionalFormatting sqref="G39">
    <cfRule type="cellIs" dxfId="22" priority="23" operator="greaterThan">
      <formula>$E$39</formula>
    </cfRule>
  </conditionalFormatting>
  <conditionalFormatting sqref="G40">
    <cfRule type="cellIs" dxfId="21" priority="22" operator="greaterThan">
      <formula>$E$40</formula>
    </cfRule>
  </conditionalFormatting>
  <conditionalFormatting sqref="G41">
    <cfRule type="cellIs" dxfId="20" priority="21" operator="greaterThan">
      <formula>$E$41</formula>
    </cfRule>
  </conditionalFormatting>
  <conditionalFormatting sqref="G42">
    <cfRule type="cellIs" dxfId="19" priority="20" operator="greaterThan">
      <formula>$E$42</formula>
    </cfRule>
  </conditionalFormatting>
  <conditionalFormatting sqref="G43">
    <cfRule type="cellIs" dxfId="18" priority="19" operator="greaterThan">
      <formula>$E$43</formula>
    </cfRule>
  </conditionalFormatting>
  <conditionalFormatting sqref="G44">
    <cfRule type="cellIs" dxfId="17" priority="18" operator="greaterThan">
      <formula>$E$44</formula>
    </cfRule>
  </conditionalFormatting>
  <conditionalFormatting sqref="G45">
    <cfRule type="cellIs" dxfId="16" priority="17" operator="greaterThan">
      <formula>$E$45</formula>
    </cfRule>
  </conditionalFormatting>
  <conditionalFormatting sqref="G50">
    <cfRule type="cellIs" dxfId="15" priority="16" operator="greaterThan">
      <formula>$E$50</formula>
    </cfRule>
  </conditionalFormatting>
  <conditionalFormatting sqref="G51">
    <cfRule type="cellIs" dxfId="14" priority="15" operator="greaterThan">
      <formula>$E$51</formula>
    </cfRule>
  </conditionalFormatting>
  <conditionalFormatting sqref="G55">
    <cfRule type="cellIs" dxfId="13" priority="14" operator="greaterThan">
      <formula>$E$55</formula>
    </cfRule>
  </conditionalFormatting>
  <conditionalFormatting sqref="G59">
    <cfRule type="cellIs" dxfId="12" priority="13" operator="greaterThan">
      <formula>$E$59</formula>
    </cfRule>
  </conditionalFormatting>
  <conditionalFormatting sqref="G60">
    <cfRule type="cellIs" dxfId="11" priority="12" operator="greaterThan">
      <formula>$E$60</formula>
    </cfRule>
  </conditionalFormatting>
  <conditionalFormatting sqref="G61">
    <cfRule type="cellIs" dxfId="10" priority="11" operator="greaterThan">
      <formula>$E$61</formula>
    </cfRule>
  </conditionalFormatting>
  <conditionalFormatting sqref="G66">
    <cfRule type="cellIs" dxfId="9" priority="10" operator="greaterThan">
      <formula>$E$66</formula>
    </cfRule>
  </conditionalFormatting>
  <conditionalFormatting sqref="G67">
    <cfRule type="cellIs" dxfId="8" priority="9" operator="greaterThan">
      <formula>$E$67</formula>
    </cfRule>
  </conditionalFormatting>
  <conditionalFormatting sqref="G68">
    <cfRule type="cellIs" dxfId="7" priority="8" operator="greaterThan">
      <formula>$E$68</formula>
    </cfRule>
  </conditionalFormatting>
  <conditionalFormatting sqref="G72">
    <cfRule type="cellIs" dxfId="6" priority="7" operator="greaterThan">
      <formula>$E$72</formula>
    </cfRule>
  </conditionalFormatting>
  <conditionalFormatting sqref="G78">
    <cfRule type="cellIs" dxfId="5" priority="6" operator="greaterThan">
      <formula>$E$78</formula>
    </cfRule>
  </conditionalFormatting>
  <conditionalFormatting sqref="G79">
    <cfRule type="cellIs" dxfId="4" priority="5" operator="greaterThan">
      <formula>$E$79</formula>
    </cfRule>
  </conditionalFormatting>
  <conditionalFormatting sqref="G80">
    <cfRule type="cellIs" dxfId="3" priority="4" operator="greaterThan">
      <formula>$E$80</formula>
    </cfRule>
  </conditionalFormatting>
  <conditionalFormatting sqref="G84">
    <cfRule type="cellIs" dxfId="2" priority="3" operator="greaterThan">
      <formula>$E$84</formula>
    </cfRule>
  </conditionalFormatting>
  <conditionalFormatting sqref="G85">
    <cfRule type="cellIs" dxfId="1" priority="2" operator="greaterThan">
      <formula>$E$85</formula>
    </cfRule>
  </conditionalFormatting>
  <conditionalFormatting sqref="G86">
    <cfRule type="cellIs" dxfId="0" priority="1" operator="greaterThan">
      <formula>$E$86</formula>
    </cfRule>
  </conditionalFormatting>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Metro de Madrid.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Pérez Monje, David</dc:creator>
  <cp:lastModifiedBy>Pérez Monje, David</cp:lastModifiedBy>
  <dcterms:created xsi:type="dcterms:W3CDTF">2019-06-06T11:50:40Z</dcterms:created>
  <dcterms:modified xsi:type="dcterms:W3CDTF">2019-08-08T05:51:23Z</dcterms:modified>
</cp:coreProperties>
</file>