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Tecnicos\INGENIERÍA\L04\VI.19.001 DIAG SAN LORENZO-M. CRISTAL\2.OBRA\1.LICITACIÓN\"/>
    </mc:Choice>
  </mc:AlternateContent>
  <bookViews>
    <workbookView xWindow="0" yWindow="0" windowWidth="7476" windowHeight="4884"/>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H70" i="1"/>
  <c r="H69" i="1"/>
  <c r="H89" i="1" l="1"/>
  <c r="H40" i="1"/>
  <c r="H36" i="1"/>
  <c r="H24" i="1"/>
  <c r="H9" i="1"/>
  <c r="H8" i="1"/>
  <c r="H52" i="1"/>
  <c r="H44" i="1"/>
  <c r="H16" i="1"/>
  <c r="H6" i="1"/>
  <c r="H5" i="1"/>
  <c r="H88" i="1"/>
  <c r="H87" i="1"/>
  <c r="H86" i="1"/>
  <c r="H82" i="1"/>
  <c r="H81" i="1"/>
  <c r="H80" i="1"/>
  <c r="H68" i="1"/>
  <c r="G64" i="1"/>
  <c r="H64" i="1" s="1"/>
  <c r="H63" i="1"/>
  <c r="H62" i="1"/>
  <c r="H61" i="1"/>
  <c r="H53" i="1"/>
  <c r="G48" i="1"/>
  <c r="H48" i="1" s="1"/>
  <c r="H47" i="1"/>
  <c r="H46" i="1"/>
  <c r="H45" i="1"/>
  <c r="H43" i="1"/>
  <c r="H42" i="1"/>
  <c r="H41" i="1"/>
  <c r="H39" i="1"/>
  <c r="H38" i="1"/>
  <c r="H37" i="1"/>
  <c r="H35" i="1"/>
  <c r="H34" i="1"/>
  <c r="H27" i="1"/>
  <c r="H26" i="1"/>
  <c r="H25" i="1"/>
  <c r="H23" i="1"/>
  <c r="H22" i="1"/>
  <c r="H21" i="1"/>
  <c r="H17" i="1"/>
  <c r="H15" i="1"/>
  <c r="G10" i="1"/>
  <c r="H10" i="1" s="1"/>
  <c r="H7" i="1"/>
  <c r="E89" i="1"/>
  <c r="F89" i="1" s="1"/>
  <c r="E88" i="1"/>
  <c r="F88" i="1" s="1"/>
  <c r="E87" i="1"/>
  <c r="F87" i="1" s="1"/>
  <c r="E86" i="1"/>
  <c r="E82" i="1"/>
  <c r="F82" i="1" s="1"/>
  <c r="E81" i="1"/>
  <c r="F81" i="1" s="1"/>
  <c r="E80" i="1"/>
  <c r="F80" i="1" s="1"/>
  <c r="E74" i="1"/>
  <c r="F74" i="1" s="1"/>
  <c r="E75" i="1" s="1"/>
  <c r="E70" i="1"/>
  <c r="F70" i="1" s="1"/>
  <c r="E69" i="1"/>
  <c r="F69" i="1" s="1"/>
  <c r="E68" i="1"/>
  <c r="F68" i="1" s="1"/>
  <c r="E64" i="1"/>
  <c r="F64" i="1" s="1"/>
  <c r="E63" i="1"/>
  <c r="F63" i="1" s="1"/>
  <c r="E62" i="1"/>
  <c r="F62" i="1" s="1"/>
  <c r="E61" i="1"/>
  <c r="F61" i="1" s="1"/>
  <c r="E57" i="1"/>
  <c r="F57" i="1" s="1"/>
  <c r="E58" i="1" s="1"/>
  <c r="F58" i="1" s="1"/>
  <c r="E53" i="1"/>
  <c r="F53" i="1" s="1"/>
  <c r="E52" i="1"/>
  <c r="F52" i="1" s="1"/>
  <c r="E48" i="1"/>
  <c r="F48" i="1" s="1"/>
  <c r="E47" i="1"/>
  <c r="F47" i="1" s="1"/>
  <c r="E46" i="1"/>
  <c r="F46" i="1" s="1"/>
  <c r="E45" i="1"/>
  <c r="F45" i="1" s="1"/>
  <c r="E44" i="1"/>
  <c r="F44" i="1" s="1"/>
  <c r="E43" i="1"/>
  <c r="F43" i="1" s="1"/>
  <c r="E42" i="1"/>
  <c r="F42" i="1" s="1"/>
  <c r="E41" i="1"/>
  <c r="F41" i="1" s="1"/>
  <c r="E40" i="1"/>
  <c r="F40" i="1" s="1"/>
  <c r="E39" i="1"/>
  <c r="F39" i="1" s="1"/>
  <c r="E38" i="1"/>
  <c r="F38" i="1" s="1"/>
  <c r="E37" i="1"/>
  <c r="F37" i="1" s="1"/>
  <c r="E36" i="1"/>
  <c r="F36" i="1" s="1"/>
  <c r="E35" i="1"/>
  <c r="F35" i="1" s="1"/>
  <c r="E34" i="1"/>
  <c r="F34" i="1" s="1"/>
  <c r="E27" i="1"/>
  <c r="F27" i="1" s="1"/>
  <c r="E26" i="1"/>
  <c r="F26" i="1" s="1"/>
  <c r="E25" i="1"/>
  <c r="F25" i="1" s="1"/>
  <c r="E24" i="1"/>
  <c r="F24" i="1" s="1"/>
  <c r="E23" i="1"/>
  <c r="F23" i="1" s="1"/>
  <c r="E22" i="1"/>
  <c r="F22" i="1" s="1"/>
  <c r="E21" i="1"/>
  <c r="F21" i="1" s="1"/>
  <c r="E17" i="1"/>
  <c r="F17" i="1" s="1"/>
  <c r="E16" i="1"/>
  <c r="F16" i="1" s="1"/>
  <c r="E15" i="1"/>
  <c r="F15" i="1" s="1"/>
  <c r="E10" i="1"/>
  <c r="F10" i="1" s="1"/>
  <c r="E9" i="1"/>
  <c r="F9" i="1" s="1"/>
  <c r="E8" i="1"/>
  <c r="E7" i="1"/>
  <c r="F7" i="1" s="1"/>
  <c r="E6" i="1"/>
  <c r="F6" i="1" s="1"/>
  <c r="E5" i="1"/>
  <c r="F5" i="1" s="1"/>
  <c r="F92" i="1"/>
  <c r="H92" i="1" s="1"/>
  <c r="D85" i="1"/>
  <c r="F86" i="1"/>
  <c r="D79" i="1"/>
  <c r="D32" i="1"/>
  <c r="D73" i="1"/>
  <c r="D67" i="1"/>
  <c r="D60" i="1"/>
  <c r="D56" i="1"/>
  <c r="D51" i="1"/>
  <c r="D33" i="1"/>
  <c r="D13" i="1"/>
  <c r="D20" i="1"/>
  <c r="D14" i="1"/>
  <c r="D4" i="1"/>
  <c r="G49" i="1" l="1"/>
  <c r="H49" i="1" s="1"/>
  <c r="G18" i="1"/>
  <c r="G28" i="1"/>
  <c r="G20" i="1" s="1"/>
  <c r="H74" i="1"/>
  <c r="G75" i="1" s="1"/>
  <c r="H57" i="1"/>
  <c r="G58" i="1" s="1"/>
  <c r="H58" i="1" s="1"/>
  <c r="G90" i="1"/>
  <c r="G71" i="1"/>
  <c r="G65" i="1"/>
  <c r="G54" i="1"/>
  <c r="G83" i="1"/>
  <c r="H83" i="1" s="1"/>
  <c r="G11" i="1"/>
  <c r="H11" i="1" s="1"/>
  <c r="E71" i="1"/>
  <c r="E67" i="1" s="1"/>
  <c r="E54" i="1"/>
  <c r="F54" i="1" s="1"/>
  <c r="F51" i="1" s="1"/>
  <c r="E11" i="1"/>
  <c r="F11" i="1" s="1"/>
  <c r="F4" i="1" s="1"/>
  <c r="E18" i="1"/>
  <c r="E14" i="1" s="1"/>
  <c r="E28" i="1"/>
  <c r="E20" i="1" s="1"/>
  <c r="E49" i="1"/>
  <c r="E65" i="1"/>
  <c r="F65" i="1" s="1"/>
  <c r="F60" i="1" s="1"/>
  <c r="E83" i="1"/>
  <c r="E79" i="1" s="1"/>
  <c r="E90" i="1"/>
  <c r="E85" i="1" s="1"/>
  <c r="E56" i="1"/>
  <c r="F56" i="1"/>
  <c r="F75" i="1"/>
  <c r="F73" i="1" s="1"/>
  <c r="E73" i="1"/>
  <c r="F49" i="1" l="1"/>
  <c r="F33" i="1" s="1"/>
  <c r="H65" i="1"/>
  <c r="H60" i="1" s="1"/>
  <c r="G60" i="1"/>
  <c r="H56" i="1"/>
  <c r="G56" i="1"/>
  <c r="H75" i="1"/>
  <c r="H73" i="1" s="1"/>
  <c r="G73" i="1"/>
  <c r="H54" i="1"/>
  <c r="H51" i="1" s="1"/>
  <c r="F71" i="1"/>
  <c r="F67" i="1" s="1"/>
  <c r="H18" i="1"/>
  <c r="H14" i="1" s="1"/>
  <c r="G14" i="1"/>
  <c r="G67" i="1"/>
  <c r="H71" i="1"/>
  <c r="H67" i="1" s="1"/>
  <c r="E51" i="1"/>
  <c r="H28" i="1"/>
  <c r="H20" i="1" s="1"/>
  <c r="H90" i="1"/>
  <c r="H85" i="1" s="1"/>
  <c r="G85" i="1"/>
  <c r="G51" i="1"/>
  <c r="G4" i="1"/>
  <c r="H4" i="1"/>
  <c r="G33" i="1"/>
  <c r="G79" i="1"/>
  <c r="H79" i="1"/>
  <c r="F90" i="1"/>
  <c r="F85" i="1" s="1"/>
  <c r="F83" i="1"/>
  <c r="F79" i="1" s="1"/>
  <c r="E60" i="1"/>
  <c r="F28" i="1"/>
  <c r="F20" i="1" s="1"/>
  <c r="F18" i="1"/>
  <c r="F14" i="1" s="1"/>
  <c r="E4" i="1"/>
  <c r="E33" i="1"/>
  <c r="E77" i="1" l="1"/>
  <c r="G30" i="1"/>
  <c r="H33" i="1"/>
  <c r="E30" i="1"/>
  <c r="F30" i="1" s="1"/>
  <c r="F13" i="1" s="1"/>
  <c r="E32" i="1"/>
  <c r="F77" i="1"/>
  <c r="F32" i="1" s="1"/>
  <c r="G77" i="1" l="1"/>
  <c r="G32" i="1" s="1"/>
  <c r="G13" i="1"/>
  <c r="H30" i="1"/>
  <c r="H13" i="1" s="1"/>
  <c r="E13" i="1"/>
  <c r="E94" i="1" s="1"/>
  <c r="G94" i="1" l="1"/>
  <c r="H95" i="1" s="1"/>
  <c r="F95" i="1"/>
  <c r="F94" i="1"/>
  <c r="H77" i="1"/>
  <c r="H32" i="1" s="1"/>
  <c r="F96" i="1"/>
  <c r="F97" i="1" l="1"/>
  <c r="H94" i="1"/>
  <c r="F98" i="1"/>
  <c r="F99" i="1" s="1"/>
  <c r="H96" i="1"/>
  <c r="H97" i="1" l="1"/>
  <c r="H98" i="1" s="1"/>
  <c r="H99" i="1" s="1"/>
</calcChain>
</file>

<file path=xl/comments1.xml><?xml version="1.0" encoding="utf-8"?>
<comments xmlns="http://schemas.openxmlformats.org/spreadsheetml/2006/main">
  <authors>
    <author>Pérez Monje, David</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Unidad principal de medida del concepto</t>
        </r>
      </text>
    </comment>
    <comment ref="C3" authorId="0" shapeId="0">
      <text>
        <r>
          <rPr>
            <b/>
            <sz val="9"/>
            <color indexed="81"/>
            <rFont val="Tahoma"/>
            <family val="2"/>
          </rPr>
          <t>Descripción corta</t>
        </r>
      </text>
    </comment>
    <comment ref="D3" authorId="0" shapeId="0">
      <text>
        <r>
          <rPr>
            <b/>
            <sz val="9"/>
            <color indexed="81"/>
            <rFont val="Tahoma"/>
            <family val="2"/>
          </rPr>
          <t>Rendimiento o cantidad presupuestada</t>
        </r>
      </text>
    </comment>
    <comment ref="E3" authorId="0" shapeId="0">
      <text>
        <r>
          <rPr>
            <b/>
            <sz val="9"/>
            <color indexed="81"/>
            <rFont val="Tahoma"/>
            <family val="2"/>
          </rPr>
          <t>Precio unitario en el presupuesto</t>
        </r>
      </text>
    </comment>
    <comment ref="F3" authorId="0" shapeId="0">
      <text>
        <r>
          <rPr>
            <b/>
            <sz val="9"/>
            <color indexed="81"/>
            <rFont val="Tahoma"/>
            <family val="2"/>
          </rPr>
          <t>Importe del presupuesto</t>
        </r>
      </text>
    </comment>
    <comment ref="G3" authorId="0" shapeId="0">
      <text>
        <r>
          <rPr>
            <b/>
            <sz val="9"/>
            <color indexed="81"/>
            <rFont val="Tahoma"/>
            <family val="2"/>
          </rPr>
          <t>Precio unitario en el presupuesto</t>
        </r>
      </text>
    </comment>
    <comment ref="H3" authorId="0" shapeId="0">
      <text>
        <r>
          <rPr>
            <b/>
            <sz val="9"/>
            <color indexed="81"/>
            <rFont val="Tahoma"/>
            <family val="2"/>
          </rPr>
          <t>Importe del presupuesto</t>
        </r>
      </text>
    </comment>
    <comment ref="A100" authorId="0" shapeId="0">
      <text>
        <r>
          <rPr>
            <b/>
            <sz val="9"/>
            <color indexed="81"/>
            <rFont val="Tahoma"/>
            <family val="2"/>
          </rPr>
          <t>RELLENAR ESTE APARTADO</t>
        </r>
      </text>
    </comment>
    <comment ref="D100" authorId="0" shapeId="0">
      <text>
        <r>
          <rPr>
            <b/>
            <sz val="9"/>
            <color indexed="81"/>
            <rFont val="Tahoma"/>
            <family val="2"/>
          </rPr>
          <t xml:space="preserve">RELLENE ESTE APARTADO
</t>
        </r>
      </text>
    </comment>
    <comment ref="A101" authorId="0" shapeId="0">
      <text>
        <r>
          <rPr>
            <b/>
            <sz val="9"/>
            <color indexed="81"/>
            <rFont val="Tahoma"/>
            <family val="2"/>
          </rPr>
          <t>RELLENAR ESTE APARTADO</t>
        </r>
      </text>
    </comment>
    <comment ref="D101" authorId="0" shapeId="0">
      <text>
        <r>
          <rPr>
            <b/>
            <sz val="9"/>
            <color indexed="81"/>
            <rFont val="Tahoma"/>
            <family val="2"/>
          </rPr>
          <t>RELLENAR ESTE APARTADO</t>
        </r>
      </text>
    </comment>
    <comment ref="A102" authorId="0" shapeId="0">
      <text>
        <r>
          <rPr>
            <b/>
            <sz val="9"/>
            <color indexed="81"/>
            <rFont val="Tahoma"/>
            <family val="2"/>
          </rPr>
          <t>RELLENAR ESTE APARTADO</t>
        </r>
      </text>
    </comment>
    <comment ref="D102" authorId="0" shapeId="0">
      <text>
        <r>
          <rPr>
            <b/>
            <sz val="9"/>
            <color indexed="81"/>
            <rFont val="Tahoma"/>
            <family val="2"/>
          </rPr>
          <t>RELLENAR ESTE APARTADO</t>
        </r>
      </text>
    </comment>
  </commentList>
</comments>
</file>

<file path=xl/sharedStrings.xml><?xml version="1.0" encoding="utf-8"?>
<sst xmlns="http://schemas.openxmlformats.org/spreadsheetml/2006/main" count="232" uniqueCount="173">
  <si>
    <t>Código</t>
  </si>
  <si>
    <t>Ud</t>
  </si>
  <si>
    <t>Resumen</t>
  </si>
  <si>
    <t>01</t>
  </si>
  <si>
    <t/>
  </si>
  <si>
    <t>TRABAJOS PREVIOS Y AUXILIARES</t>
  </si>
  <si>
    <t>01.01</t>
  </si>
  <si>
    <t>m</t>
  </si>
  <si>
    <t>TOMA DE DATOS CON CARRO MEDIDOR. JORNADA 2:30 - 5:00 A.M.</t>
  </si>
  <si>
    <t>01.02</t>
  </si>
  <si>
    <t>ud</t>
  </si>
  <si>
    <t>REVISIÓN COMPLETA DEL ESTADO ACTUAL DE LAS INSTALACIONES DEL POZO DE VENTILACIÓN</t>
  </si>
  <si>
    <t>01.03</t>
  </si>
  <si>
    <t>ELEMENTOS DE SEÑALIZACIÓN Y PROTECCIÓN PARA C.G.M.P. DE VENTILADORES Y OTROS COMPONENTES</t>
  </si>
  <si>
    <t>01.04</t>
  </si>
  <si>
    <t>REVISIÓN, LIMPIEZA, ENGRASE Y PUESTA A PUNTO DE EQUIPOS DE VENTILACIÓN Y ELEMENTOS AUXILIARES</t>
  </si>
  <si>
    <t>01.05</t>
  </si>
  <si>
    <t>REVISIÓN COMPLETA DEL ESTADO FINAL DE LAS INSTALACIONES DEL POZO DE VENTILACIÓN, REALIZACIÓN DE PRUEBAS Y PUESTA EN SERVICIO</t>
  </si>
  <si>
    <t>01.06</t>
  </si>
  <si>
    <t>PA</t>
  </si>
  <si>
    <t>PARTIDA ALZADA PARA ADECUACIÓN DE ZONAS ADYACENTES Y ACTUACIONES EN INSTALACIONES</t>
  </si>
  <si>
    <t>Total 01</t>
  </si>
  <si>
    <t>02</t>
  </si>
  <si>
    <t>DESMONTAJES, DESGUARNECIDOS, DESGRAVADOS Y DEMOLICIONES</t>
  </si>
  <si>
    <t>02.01</t>
  </si>
  <si>
    <t>DESMONTAJE DE APARATOS Y VÍA</t>
  </si>
  <si>
    <t>02.01.01</t>
  </si>
  <si>
    <t>DESMONTAJE DE CARRIL Y JUNTAS DE VÍA DOBLE. JORNADA 2:30 - 5:00 A.M.</t>
  </si>
  <si>
    <t>02.01.02</t>
  </si>
  <si>
    <t>DESMONTAJE DIAGONAL DE GÁLIBO ESTRECHO COMPLETA. JORNADA 2:30 - 5:00 A.M.</t>
  </si>
  <si>
    <t>02.01.03</t>
  </si>
  <si>
    <t>DESMONTAJE DE DESVÍO COMPLETO. JORNADA 2:30 - 5:00 A.M.</t>
  </si>
  <si>
    <t>Total 02.01</t>
  </si>
  <si>
    <t>02.02</t>
  </si>
  <si>
    <t>DEMOLICIONES, DESGUARNECIDOS Y DESGRAVADOS</t>
  </si>
  <si>
    <t>02.02.01</t>
  </si>
  <si>
    <t>m3</t>
  </si>
  <si>
    <t>DESGUARNECIDO Y DESGRAVADO DE VÍA DOBLE SOBRE BALASTO. JORNADA 2:30 - 5:00 A.M.</t>
  </si>
  <si>
    <t>02.02.02</t>
  </si>
  <si>
    <t>DESMONTAJE ARQUETA DE SEÑALIZACIÓN. JORNADA 2:30 - 5:00 A.M.</t>
  </si>
  <si>
    <t>02.02.03</t>
  </si>
  <si>
    <t>EXTRACCIÓN DE TACO RÍGIDO MEDIANTE PICADO Y REMATE CON MORTERO. JORNADA 2:30 - 5:00 A.M.</t>
  </si>
  <si>
    <t>02.02.04</t>
  </si>
  <si>
    <t>EXTRACCIÓN DE TACO ELÁSTICO (DADO Y CAZOLETA). JORNADA 2:30 - 5:00 A.M.</t>
  </si>
  <si>
    <t>02.02.05</t>
  </si>
  <si>
    <t>CORTE CON DISCO DE SOLERA DE HORMIGÓN. JORNADA 2:30 - 5:00 A.M.</t>
  </si>
  <si>
    <t>02.02.06</t>
  </si>
  <si>
    <t>DEMOLICIÓN Y DESGRAVADO LOSAS Y SOLERAS HORMIGÓN CON P.P. DE TACOS. JORNADA 2:30 - 5:00 A.M.</t>
  </si>
  <si>
    <t>02.02.07</t>
  </si>
  <si>
    <t>RETIRADA, CARGA Y TRANSPORTE DE ESCOMBROS A DEPÓSITO. JORNADA 2:30 - 5:00 A.M.</t>
  </si>
  <si>
    <t>Total 02.02</t>
  </si>
  <si>
    <t>Total 02</t>
  </si>
  <si>
    <t>03</t>
  </si>
  <si>
    <t>MONTAJE DE VÍA Y FORMACIÓN DE PLATAFORMA</t>
  </si>
  <si>
    <t>03.01</t>
  </si>
  <si>
    <t>MONTAJE DE APARATOS Y VÍA</t>
  </si>
  <si>
    <t>03.01.01</t>
  </si>
  <si>
    <t>CARGA, TRANSPORTE Y DESCARGA DE DIAGONAL DE GÁLIBO ESTRECHO. JORNADA 2:30 - 5:00 A.M.</t>
  </si>
  <si>
    <t>03.01.02</t>
  </si>
  <si>
    <t>CARGA, TRANSPORTE Y DESCARGA DE DESVÍO EN TÚNEL DE VÍA DOBLE. JORNADA 2:30 - 5:00 A.M.</t>
  </si>
  <si>
    <t>03.01.03</t>
  </si>
  <si>
    <t>MONTAJE DE DIAGONAL ELÁSTICA PARA ENTREVÍA DE 1400MM. MONTAJE BOTTOM-UP. JORNADA 2:30 - 5:00 A.M.</t>
  </si>
  <si>
    <t>03.01.04</t>
  </si>
  <si>
    <t>MONTAJE DE DESVÍO DE TECNOLOGÍA ALTA COMPLETO. MONTAJE BOTTOM-UP. JORNADA 2:30 - 5:00 A.M.</t>
  </si>
  <si>
    <t>03.01.05</t>
  </si>
  <si>
    <t>SUMINISTRO DE CARRIL 54E1</t>
  </si>
  <si>
    <t>03.01.06</t>
  </si>
  <si>
    <t>SUMINISTRO JA DE 6 M, TIPO IVG DE 30º, PARA CARRIL 54E1</t>
  </si>
  <si>
    <t>03.01.07</t>
  </si>
  <si>
    <t>CARGA, TRANSPORTE Y DESCARGA DE JUNTAS Y CARRIL EN VÍA DOBLE. JORNADA 2:30 - 5:00 A.M.</t>
  </si>
  <si>
    <t>03.01.08</t>
  </si>
  <si>
    <t>MONTAJE Y ENGRAPADO DE CARRIL DE VÍA DOBLE. JORNADA 2:30 - 5:00 A.M.</t>
  </si>
  <si>
    <t>03.01.09</t>
  </si>
  <si>
    <t>MONTAJE JA DE 6 M, TIPO IVG DE 30º, PARA CARRIL 54 O 60E1. JORNADA 2:30 - 5:00 A.M.</t>
  </si>
  <si>
    <t>03.01.10</t>
  </si>
  <si>
    <t>CONEXIONADO DE CARRIL O JA PARA SEÑALES. JORNADA 2:30 - 5:00 A.M.</t>
  </si>
  <si>
    <t>03.01.11</t>
  </si>
  <si>
    <t>SUMINISTRO PLACA DE FIJACIÓN DIRECTA DFF/ADH CON SKL-3 O EQUIVALENTE PARA CARRIL 54E1 PARA MONTAJE BOTTOM-UP</t>
  </si>
  <si>
    <t>03.01.12</t>
  </si>
  <si>
    <t>CARGA, TRANSPORTE Y DESCARGA DE TACOS/PLACAS EN VÍA DOBLE. JORNADA 2:30 - 5:00 A.M.</t>
  </si>
  <si>
    <t>03.01.13</t>
  </si>
  <si>
    <t>MONTAJE DE PLACA DE FIJACION DIRECTA DFF/ADH O EQUIVALENTE CON MONTAJE BOTTOM-UP EN SUPERFICIE PREPARADA. JORNADA 2:30 - 5:00 A.</t>
  </si>
  <si>
    <t>03.01.14</t>
  </si>
  <si>
    <t>FORMACIÓN DE DADO DE MORTERO PARA INSTALACIÓN DE PLACA EN HUECO DE TACO. JORNADA 2:30 - 5:00 A.M.</t>
  </si>
  <si>
    <t>03.01.15</t>
  </si>
  <si>
    <t>PARTIDA ALZADA INSTALACIONES Y ELEMENTOS DE OBRA CIVIL. A JUSTIFICAR</t>
  </si>
  <si>
    <t>Total 03.01</t>
  </si>
  <si>
    <t>03.02</t>
  </si>
  <si>
    <t>SOLDADURAS</t>
  </si>
  <si>
    <t>03.02.01.</t>
  </si>
  <si>
    <t>EJECUCIÓN DE SOLDADURA ALUMINOTÉRMICA EN CARRIL 54E1 O 60E1. JORNADA 2:30 - 5:00 A.M.</t>
  </si>
  <si>
    <t>03.02.02</t>
  </si>
  <si>
    <t>EJECUCIÓN DE SOLDADURA ALUMINOTÉRMICA EN CARRIL CON CC O INTERNA DE APARATOS DE VÍA. JORNADA 2:30 - 5:00 A.M.</t>
  </si>
  <si>
    <t>Total 03.02</t>
  </si>
  <si>
    <t>03.03</t>
  </si>
  <si>
    <t>HORMIGONADO Y BALASTADO</t>
  </si>
  <si>
    <t>03.03.01</t>
  </si>
  <si>
    <t>HORMIGÓN ARMADO HA / HM-25/20/B IIA O HA / HM-25/20/F/IIA DE CENTRAL CON BOMBEO EN VÍA DOBLE. JORNADA 2:30 - 5:00 A.M.</t>
  </si>
  <si>
    <t>Total 03.03</t>
  </si>
  <si>
    <t>03.04</t>
  </si>
  <si>
    <t>SANEAMIENTO Y DRENAJE</t>
  </si>
  <si>
    <t>03.04.01</t>
  </si>
  <si>
    <t>SUM. Y MONTAJE DE REJILLA METÁLICA DE 1000X300 MM PARA CANAL CENTRAL CON CERCO. JORNADA 2:30 - 5:00 A.M.</t>
  </si>
  <si>
    <t>03.04.02</t>
  </si>
  <si>
    <t>EJECUCIÓN ARQUETA DE PASO DE 51X51X60 CM, A HORMIGONAR. JORNADA 2:30 - 5:00 A.M.</t>
  </si>
  <si>
    <t>03.04.03</t>
  </si>
  <si>
    <t>DRENAJE SUBTERRÁNEO. JORNADA 2:30 - 5:00 A.M.</t>
  </si>
  <si>
    <t>03.04.04</t>
  </si>
  <si>
    <t>PARTIDA ALZADA ACTUACIONES RELACIONADAS CON EL SANEAMIENTO Y DRENAJE. A JUSTIFICAR</t>
  </si>
  <si>
    <t>Total 03.04</t>
  </si>
  <si>
    <t>03.05</t>
  </si>
  <si>
    <t>ALINEACIÓN Y NIVELACIÓN</t>
  </si>
  <si>
    <t>03.05.01</t>
  </si>
  <si>
    <t>ALINEACIÓN Y NIVELACIÓN AUXILIAR DE DIAGONAL. JORNADA 2:30 - 5:00 A.M.</t>
  </si>
  <si>
    <t>03.05.02</t>
  </si>
  <si>
    <t>MEJORA DE LA ALINEACIÓN, ANCHO DE VÍA, NIVELACIÓN Y PERALTE CON CARRO DE VÍA SENCILLA. JORNADA 2:30 - 5:00 A.M.</t>
  </si>
  <si>
    <t>03.05.03</t>
  </si>
  <si>
    <t>ALINEACIÓN Y NIVELACIÓN AUXILIAR DE DESVÍO. JORNADA 2:30 - 5:00 A.M.</t>
  </si>
  <si>
    <t>Total 03.05</t>
  </si>
  <si>
    <t>03.06</t>
  </si>
  <si>
    <t>INDICADORES, PIQUETES Y MARCAJES</t>
  </si>
  <si>
    <t>03.06.01</t>
  </si>
  <si>
    <t>PLACA KILOMÉTRICA POR DECÁMETROS CON DESLIZADERA DE NIVELACIÓN. JORNADA 2:30 - 5:00 A.M.</t>
  </si>
  <si>
    <t>Total 03.06</t>
  </si>
  <si>
    <t>Total 03</t>
  </si>
  <si>
    <t>04</t>
  </si>
  <si>
    <t>LIMPIEZA Y DESATRANCOS</t>
  </si>
  <si>
    <t>04.01</t>
  </si>
  <si>
    <t>LIMPIEZA FINAL DE LA ZONA DE OBRAS. JORNADA 2:30 - 5:00 A.M.</t>
  </si>
  <si>
    <t>04.02</t>
  </si>
  <si>
    <t>DESATRANCO/LIMPIEZA DE DRENAJE SUBTERRÁNEO. JORNADA 2:30 - 5:00 A.M.</t>
  </si>
  <si>
    <t>04.03</t>
  </si>
  <si>
    <t>LIMPIEZA DE PLACAS DE KILOMETRAJE/ PIQUETES O SIMILARES. JORNADA 2:30 - 5:00 A.M.</t>
  </si>
  <si>
    <t>Total 04</t>
  </si>
  <si>
    <t>05</t>
  </si>
  <si>
    <t>GESTIÓN DE MEDIOAMBIENTE</t>
  </si>
  <si>
    <t>05.01</t>
  </si>
  <si>
    <t>CONTENEDOR DE 6 M3 Y TRANSPORTE A VERTEDERO</t>
  </si>
  <si>
    <t>05.02</t>
  </si>
  <si>
    <t>t</t>
  </si>
  <si>
    <t>COSTE DE GESTIÓN DE ESCOMBROS DE CONSTRUCCIÓN</t>
  </si>
  <si>
    <t>05.03</t>
  </si>
  <si>
    <t>CARGA Y TRANSPORTE DE CHATARRA FÉRRICA A GESTOR DE RESIDUOS</t>
  </si>
  <si>
    <t>05.04</t>
  </si>
  <si>
    <t>COSTE DE GESTIÓN DE CHATARRA FÉRRICA</t>
  </si>
  <si>
    <t>Total 05</t>
  </si>
  <si>
    <t>06</t>
  </si>
  <si>
    <t>SEGURIDAD Y SALUD</t>
  </si>
  <si>
    <t>TOTAL PRESUPUESTO DE EJECUCIÓN MATERIAL</t>
  </si>
  <si>
    <t xml:space="preserve"> </t>
  </si>
  <si>
    <t xml:space="preserve"> % GASTOS GENERALES</t>
  </si>
  <si>
    <t xml:space="preserve"> % BENEFICIOS INDUSTRIALES</t>
  </si>
  <si>
    <t>IMPORTE OFERTA SIN I.V.A.</t>
  </si>
  <si>
    <t>IMPORTE DEL I.V.A.</t>
  </si>
  <si>
    <t>IMPORTE OFERTA CON I.V.A.</t>
  </si>
  <si>
    <t>NOMBRE EMPRESA /
RAZÓN SOCIAL</t>
  </si>
  <si>
    <t>FECHA</t>
  </si>
  <si>
    <t>DOMICILIO FISCAL</t>
  </si>
  <si>
    <t>SELLO</t>
  </si>
  <si>
    <t>CIF</t>
  </si>
  <si>
    <t>FIRMA</t>
  </si>
  <si>
    <t>NOTAS</t>
  </si>
  <si>
    <r>
      <rPr>
        <b/>
        <i/>
        <sz val="9"/>
        <color rgb="FFFF0000"/>
        <rFont val="Calibri"/>
        <family val="2"/>
        <scheme val="minor"/>
      </rPr>
      <t>*</t>
    </r>
    <r>
      <rPr>
        <b/>
        <i/>
        <sz val="9"/>
        <color theme="1"/>
        <rFont val="Calibri"/>
        <family val="2"/>
        <scheme val="minor"/>
      </rPr>
      <t xml:space="preserve">  El importe de las partidas alzadas no podrá verse modificado en la oferta presentada respecto al importe de licitación.</t>
    </r>
  </si>
  <si>
    <r>
      <rPr>
        <b/>
        <i/>
        <sz val="9"/>
        <color rgb="FFFF0000"/>
        <rFont val="Calibri"/>
        <family val="2"/>
        <scheme val="minor"/>
      </rPr>
      <t xml:space="preserve">** </t>
    </r>
    <r>
      <rPr>
        <b/>
        <i/>
        <sz val="9"/>
        <color theme="1"/>
        <rFont val="Calibri"/>
        <family val="2"/>
        <scheme val="minor"/>
      </rPr>
      <t>El precio ofertado en cada una de las unidades no puede superar el precio unitario de licitación, a excepción del importe correspondiente al capítulo de Seguridad y Salud que solo podrá modificarse según R.D. 1627/97.   </t>
    </r>
  </si>
  <si>
    <t>BASE IMPONIBLE</t>
  </si>
  <si>
    <t>IMPORTE DE LA OFERTA</t>
  </si>
  <si>
    <t>IMP</t>
  </si>
  <si>
    <t>PREC</t>
  </si>
  <si>
    <t>CANT</t>
  </si>
  <si>
    <t xml:space="preserve">RENOVACIÓN DE DIAGONAL Y DESVÍO EN LÍNEA 4 ENTRE LAS ESTACIONES DE SAN LORENZO Y MAR DE CRISTAL </t>
  </si>
  <si>
    <r>
      <rPr>
        <b/>
        <i/>
        <sz val="9"/>
        <color rgb="FFFF0000"/>
        <rFont val="Calibri"/>
        <family val="2"/>
        <scheme val="minor"/>
      </rPr>
      <t xml:space="preserve">**** </t>
    </r>
    <r>
      <rPr>
        <b/>
        <i/>
        <sz val="9"/>
        <color theme="1"/>
        <rFont val="Calibri"/>
        <family val="2"/>
        <scheme val="minor"/>
      </rPr>
      <t>El sumatorio del total correspondiente a la celda presupuesto total de la oferta no puede superar el valor del presupuesto total de licitación.</t>
    </r>
  </si>
  <si>
    <r>
      <rPr>
        <b/>
        <i/>
        <sz val="9"/>
        <color rgb="FFFF0000"/>
        <rFont val="Calibri"/>
        <family val="2"/>
        <scheme val="minor"/>
      </rPr>
      <t>***</t>
    </r>
    <r>
      <rPr>
        <b/>
        <i/>
        <sz val="9"/>
        <color theme="1"/>
        <rFont val="Calibri"/>
        <family val="2"/>
        <scheme val="minor"/>
      </rPr>
      <t xml:space="preserve">El importe de la unidad COSTE DE GESTIIÓN DE CHATARRA FÉRRICA, no podrá ser superior al del precio unitario de licitación. </t>
    </r>
  </si>
  <si>
    <r>
      <t xml:space="preserve">***** </t>
    </r>
    <r>
      <rPr>
        <b/>
        <i/>
        <sz val="9"/>
        <color theme="1"/>
        <rFont val="Calibri"/>
        <family val="2"/>
        <scheme val="minor"/>
      </rPr>
      <t>El importe de la celda “OFERTA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</si>
</sst>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F800]dddd\,\ mmmm\ dd\,\ yyyy"/>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sz val="8"/>
      <color theme="1"/>
      <name val="Calibri"/>
      <family val="2"/>
      <scheme val="minor"/>
    </font>
    <font>
      <b/>
      <sz val="10"/>
      <color rgb="FF0070C0"/>
      <name val="Calibri"/>
      <family val="2"/>
      <scheme val="minor"/>
    </font>
    <font>
      <b/>
      <sz val="9"/>
      <color rgb="FF0070C0"/>
      <name val="Calibri"/>
      <family val="2"/>
      <scheme val="minor"/>
    </font>
    <font>
      <b/>
      <sz val="8"/>
      <color rgb="FF0070C0"/>
      <name val="Calibri"/>
      <family val="2"/>
      <scheme val="minor"/>
    </font>
    <font>
      <sz val="12"/>
      <color rgb="FF0070C0"/>
      <name val="Calibri"/>
      <family val="2"/>
      <scheme val="minor"/>
    </font>
    <font>
      <b/>
      <sz val="13"/>
      <color rgb="FF0070C0"/>
      <name val="Calibri"/>
      <family val="2"/>
      <scheme val="minor"/>
    </font>
    <font>
      <b/>
      <sz val="14"/>
      <name val="Calibri"/>
      <family val="2"/>
      <scheme val="minor"/>
    </font>
    <font>
      <b/>
      <sz val="16"/>
      <color rgb="FF0070C0"/>
      <name val="Calibri"/>
      <family val="2"/>
      <scheme val="minor"/>
    </font>
    <font>
      <b/>
      <sz val="12"/>
      <name val="Calibri"/>
      <family val="2"/>
      <scheme val="minor"/>
    </font>
    <font>
      <b/>
      <sz val="15"/>
      <color rgb="FF0070C0"/>
      <name val="Calibri"/>
      <family val="2"/>
      <scheme val="minor"/>
    </font>
    <font>
      <b/>
      <sz val="12"/>
      <color rgb="FF0070C0"/>
      <name val="Calibri"/>
      <family val="2"/>
      <scheme val="minor"/>
    </font>
    <font>
      <b/>
      <sz val="14"/>
      <color rgb="FF0070C0"/>
      <name val="Calibri"/>
      <family val="2"/>
      <scheme val="minor"/>
    </font>
    <font>
      <b/>
      <sz val="12"/>
      <color theme="1"/>
      <name val="Calibri"/>
      <family val="2"/>
      <scheme val="minor"/>
    </font>
    <font>
      <b/>
      <i/>
      <sz val="9"/>
      <color theme="1"/>
      <name val="Calibri"/>
      <family val="2"/>
      <scheme val="minor"/>
    </font>
    <font>
      <b/>
      <i/>
      <sz val="9"/>
      <color rgb="FFFF0000"/>
      <name val="Calibri"/>
      <family val="2"/>
      <scheme val="minor"/>
    </font>
    <font>
      <b/>
      <sz val="8"/>
      <color theme="4" tint="-0.249977111117893"/>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lightGray">
        <fgColor indexed="26"/>
        <bgColor theme="0" tint="-0.14999847407452621"/>
      </patternFill>
    </fill>
    <fill>
      <patternFill patternType="solid">
        <fgColor theme="5"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61">
    <xf numFmtId="0" fontId="0" fillId="0" borderId="0" xfId="0"/>
    <xf numFmtId="0" fontId="6" fillId="0" borderId="1" xfId="0" applyFont="1" applyBorder="1" applyAlignment="1">
      <alignment vertical="top"/>
    </xf>
    <xf numFmtId="0" fontId="6" fillId="0" borderId="1" xfId="0" applyFont="1" applyBorder="1" applyAlignment="1">
      <alignment vertical="top" wrapText="1"/>
    </xf>
    <xf numFmtId="49" fontId="7" fillId="2" borderId="1" xfId="0" applyNumberFormat="1" applyFont="1" applyFill="1" applyBorder="1" applyAlignment="1">
      <alignment vertical="top"/>
    </xf>
    <xf numFmtId="49" fontId="7" fillId="2" borderId="1" xfId="0" applyNumberFormat="1" applyFont="1" applyFill="1" applyBorder="1" applyAlignment="1">
      <alignment vertical="top" wrapText="1"/>
    </xf>
    <xf numFmtId="3" fontId="7" fillId="2" borderId="1" xfId="0" applyNumberFormat="1" applyFont="1" applyFill="1" applyBorder="1" applyAlignment="1">
      <alignment vertical="top"/>
    </xf>
    <xf numFmtId="4" fontId="7" fillId="2" borderId="1" xfId="0" applyNumberFormat="1" applyFont="1" applyFill="1" applyBorder="1" applyAlignment="1">
      <alignment vertical="top"/>
    </xf>
    <xf numFmtId="49" fontId="8" fillId="3" borderId="1" xfId="0" applyNumberFormat="1" applyFont="1" applyFill="1" applyBorder="1" applyAlignment="1">
      <alignment vertical="top"/>
    </xf>
    <xf numFmtId="49" fontId="8" fillId="0" borderId="1" xfId="0" applyNumberFormat="1" applyFont="1" applyBorder="1" applyAlignment="1">
      <alignment vertical="top"/>
    </xf>
    <xf numFmtId="49" fontId="8" fillId="0" borderId="1" xfId="0" applyNumberFormat="1" applyFont="1" applyBorder="1" applyAlignment="1">
      <alignment vertical="top" wrapText="1"/>
    </xf>
    <xf numFmtId="4" fontId="8" fillId="0" borderId="1" xfId="0" applyNumberFormat="1" applyFont="1" applyBorder="1" applyAlignment="1">
      <alignment vertical="top"/>
    </xf>
    <xf numFmtId="0" fontId="8" fillId="0" borderId="1" xfId="0" applyFont="1" applyBorder="1" applyAlignment="1">
      <alignment vertical="top"/>
    </xf>
    <xf numFmtId="49" fontId="7" fillId="0" borderId="1" xfId="0" applyNumberFormat="1" applyFont="1" applyBorder="1" applyAlignment="1">
      <alignment vertical="top" wrapText="1"/>
    </xf>
    <xf numFmtId="3" fontId="8" fillId="0" borderId="1" xfId="0" applyNumberFormat="1" applyFont="1" applyBorder="1" applyAlignment="1">
      <alignment vertical="top"/>
    </xf>
    <xf numFmtId="4" fontId="7" fillId="0" borderId="1" xfId="0" applyNumberFormat="1" applyFont="1" applyBorder="1" applyAlignment="1">
      <alignment vertical="top"/>
    </xf>
    <xf numFmtId="0" fontId="8" fillId="4" borderId="1" xfId="0" applyFont="1" applyFill="1" applyBorder="1" applyAlignment="1">
      <alignment vertical="top"/>
    </xf>
    <xf numFmtId="0" fontId="8" fillId="4" borderId="1" xfId="0" applyFont="1" applyFill="1" applyBorder="1" applyAlignment="1">
      <alignment vertical="top" wrapText="1"/>
    </xf>
    <xf numFmtId="49" fontId="7" fillId="5" borderId="1" xfId="0" applyNumberFormat="1" applyFont="1" applyFill="1" applyBorder="1" applyAlignment="1">
      <alignment vertical="top"/>
    </xf>
    <xf numFmtId="49" fontId="7" fillId="5" borderId="1" xfId="0" applyNumberFormat="1" applyFont="1" applyFill="1" applyBorder="1" applyAlignment="1">
      <alignment vertical="top" wrapText="1"/>
    </xf>
    <xf numFmtId="4" fontId="7" fillId="5" borderId="1" xfId="0" applyNumberFormat="1" applyFont="1" applyFill="1" applyBorder="1" applyAlignment="1">
      <alignment vertical="top"/>
    </xf>
    <xf numFmtId="3" fontId="8"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9" fontId="10" fillId="6" borderId="1" xfId="0" applyNumberFormat="1" applyFont="1" applyFill="1" applyBorder="1" applyAlignment="1" applyProtection="1">
      <alignment vertical="center" wrapText="1"/>
    </xf>
    <xf numFmtId="4" fontId="11" fillId="6" borderId="1" xfId="0" applyNumberFormat="1" applyFont="1" applyFill="1" applyBorder="1" applyAlignment="1" applyProtection="1">
      <alignment horizontal="center" vertical="center"/>
    </xf>
    <xf numFmtId="10" fontId="11" fillId="6" borderId="1" xfId="0" applyNumberFormat="1" applyFont="1" applyFill="1" applyBorder="1" applyAlignment="1" applyProtection="1">
      <alignment horizontal="center" vertical="center" wrapText="1"/>
    </xf>
    <xf numFmtId="164" fontId="11" fillId="6" borderId="1" xfId="0" applyNumberFormat="1" applyFont="1" applyFill="1" applyBorder="1" applyAlignment="1" applyProtection="1">
      <alignment horizontal="center" vertical="center"/>
    </xf>
    <xf numFmtId="10" fontId="11" fillId="6" borderId="1" xfId="1" applyNumberFormat="1" applyFont="1" applyFill="1" applyBorder="1" applyAlignment="1" applyProtection="1">
      <alignment horizontal="center" vertical="center"/>
    </xf>
    <xf numFmtId="4" fontId="13" fillId="7" borderId="1" xfId="0" applyNumberFormat="1" applyFont="1" applyFill="1" applyBorder="1" applyAlignment="1" applyProtection="1">
      <alignment horizontal="center" vertical="center"/>
    </xf>
    <xf numFmtId="0" fontId="13" fillId="7" borderId="1" xfId="0" applyFont="1" applyFill="1" applyBorder="1" applyAlignment="1" applyProtection="1">
      <alignment horizontal="center" vertical="center"/>
    </xf>
    <xf numFmtId="164" fontId="10" fillId="8" borderId="1" xfId="0" applyNumberFormat="1" applyFont="1" applyFill="1" applyBorder="1" applyAlignment="1" applyProtection="1">
      <alignment horizontal="center" vertical="center"/>
    </xf>
    <xf numFmtId="0" fontId="10" fillId="6" borderId="1" xfId="0" applyFont="1" applyFill="1" applyBorder="1" applyAlignment="1" applyProtection="1">
      <alignment vertical="center"/>
    </xf>
    <xf numFmtId="4" fontId="13" fillId="6" borderId="1" xfId="0" applyNumberFormat="1" applyFont="1" applyFill="1" applyBorder="1" applyAlignment="1" applyProtection="1">
      <alignment horizontal="center" vertical="center"/>
    </xf>
    <xf numFmtId="0" fontId="13" fillId="6" borderId="1" xfId="0" applyFont="1" applyFill="1" applyBorder="1" applyAlignment="1" applyProtection="1">
      <alignment horizontal="center" vertical="center"/>
    </xf>
    <xf numFmtId="164" fontId="10" fillId="6" borderId="1" xfId="0" applyNumberFormat="1" applyFont="1" applyFill="1" applyBorder="1" applyAlignment="1" applyProtection="1">
      <alignment horizontal="center" vertical="center"/>
    </xf>
    <xf numFmtId="4" fontId="15" fillId="9" borderId="1" xfId="0" applyNumberFormat="1" applyFont="1" applyFill="1" applyBorder="1" applyAlignment="1" applyProtection="1">
      <alignment horizontal="center" vertical="center" wrapText="1"/>
      <protection locked="0"/>
    </xf>
    <xf numFmtId="0" fontId="16" fillId="8" borderId="1" xfId="0" applyFont="1" applyFill="1" applyBorder="1" applyAlignment="1" applyProtection="1">
      <alignment horizontal="center" vertical="center" wrapText="1"/>
    </xf>
    <xf numFmtId="4" fontId="18" fillId="9" borderId="1" xfId="0" applyNumberFormat="1" applyFont="1" applyFill="1" applyBorder="1" applyAlignment="1" applyProtection="1">
      <alignment horizontal="center" vertical="center" wrapText="1"/>
      <protection locked="0"/>
    </xf>
    <xf numFmtId="0" fontId="19" fillId="9" borderId="1" xfId="0" applyNumberFormat="1" applyFont="1" applyFill="1" applyBorder="1" applyAlignment="1" applyProtection="1">
      <alignment horizontal="center" vertical="center" wrapText="1"/>
      <protection locked="0"/>
    </xf>
    <xf numFmtId="0" fontId="12" fillId="7" borderId="3" xfId="0" applyFont="1" applyFill="1" applyBorder="1" applyAlignment="1" applyProtection="1">
      <alignment horizontal="center" vertical="center"/>
    </xf>
    <xf numFmtId="0" fontId="12" fillId="7" borderId="2" xfId="0" applyFont="1" applyFill="1" applyBorder="1" applyAlignment="1" applyProtection="1">
      <alignment horizontal="center" vertical="center"/>
    </xf>
    <xf numFmtId="4" fontId="7" fillId="2" borderId="1" xfId="0" applyNumberFormat="1" applyFont="1" applyFill="1" applyBorder="1" applyAlignment="1">
      <alignment vertical="top"/>
    </xf>
    <xf numFmtId="0" fontId="0" fillId="0" borderId="0" xfId="0"/>
    <xf numFmtId="4" fontId="8" fillId="0" borderId="1" xfId="0" applyNumberFormat="1" applyFont="1" applyBorder="1" applyAlignment="1" applyProtection="1">
      <alignment vertical="top"/>
      <protection locked="0"/>
    </xf>
    <xf numFmtId="4" fontId="13" fillId="6" borderId="1" xfId="0" applyNumberFormat="1" applyFont="1" applyFill="1" applyBorder="1" applyAlignment="1" applyProtection="1">
      <alignment horizontal="center" vertical="center"/>
      <protection locked="0"/>
    </xf>
    <xf numFmtId="0" fontId="14" fillId="8" borderId="1" xfId="0" applyFont="1" applyFill="1" applyBorder="1" applyAlignment="1" applyProtection="1">
      <alignment horizontal="center" vertical="center" wrapText="1"/>
    </xf>
    <xf numFmtId="165" fontId="17" fillId="9" borderId="1" xfId="0" applyNumberFormat="1" applyFont="1" applyFill="1" applyBorder="1" applyAlignment="1" applyProtection="1">
      <alignment horizontal="center" vertical="center" wrapText="1"/>
      <protection locked="0"/>
    </xf>
    <xf numFmtId="4" fontId="17" fillId="9" borderId="1" xfId="0" applyNumberFormat="1" applyFont="1" applyFill="1" applyBorder="1" applyAlignment="1" applyProtection="1">
      <alignment horizontal="center" vertical="center" wrapText="1"/>
      <protection locked="0"/>
    </xf>
    <xf numFmtId="0" fontId="3" fillId="10" borderId="1" xfId="0" applyFont="1" applyFill="1" applyBorder="1" applyAlignment="1">
      <alignment vertical="top" wrapText="1"/>
    </xf>
    <xf numFmtId="0" fontId="0" fillId="10" borderId="1" xfId="0" applyFill="1" applyBorder="1" applyAlignment="1">
      <alignment vertical="top" wrapText="1"/>
    </xf>
    <xf numFmtId="0" fontId="2" fillId="0" borderId="1" xfId="0" applyFont="1" applyBorder="1" applyAlignment="1">
      <alignment vertical="top" wrapText="1"/>
    </xf>
    <xf numFmtId="0" fontId="4" fillId="0" borderId="1" xfId="0" applyFont="1" applyBorder="1" applyAlignment="1">
      <alignment vertical="top" wrapText="1"/>
    </xf>
    <xf numFmtId="0" fontId="0" fillId="0" borderId="1" xfId="0" applyBorder="1" applyAlignment="1">
      <alignment vertical="top" wrapText="1"/>
    </xf>
    <xf numFmtId="0" fontId="9" fillId="6"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12" fillId="6" borderId="1" xfId="0" applyFont="1" applyFill="1" applyBorder="1" applyAlignment="1" applyProtection="1">
      <alignment horizontal="center" vertical="center" wrapText="1"/>
    </xf>
    <xf numFmtId="0" fontId="8" fillId="0" borderId="3" xfId="0" applyFont="1" applyBorder="1" applyAlignment="1">
      <alignment vertical="top" wrapText="1"/>
    </xf>
    <xf numFmtId="0" fontId="0" fillId="0" borderId="2" xfId="0" applyBorder="1" applyAlignment="1">
      <alignment vertical="top" wrapText="1"/>
    </xf>
    <xf numFmtId="0" fontId="20" fillId="8" borderId="1" xfId="0" applyFont="1" applyFill="1" applyBorder="1" applyAlignment="1" applyProtection="1">
      <alignment horizontal="center" vertical="center" wrapText="1"/>
    </xf>
    <xf numFmtId="0" fontId="21" fillId="7" borderId="1" xfId="0" applyFont="1" applyFill="1" applyBorder="1" applyAlignment="1" applyProtection="1">
      <alignment horizontal="left" vertical="center" wrapText="1"/>
    </xf>
    <xf numFmtId="0" fontId="22" fillId="7" borderId="1" xfId="0" applyFont="1" applyFill="1" applyBorder="1" applyAlignment="1" applyProtection="1">
      <alignment horizontal="left" vertical="center" wrapText="1"/>
    </xf>
    <xf numFmtId="10" fontId="23" fillId="0" borderId="1" xfId="0" applyNumberFormat="1" applyFont="1" applyBorder="1" applyAlignment="1" applyProtection="1">
      <alignment horizontal="center" vertical="center"/>
      <protection locked="0"/>
    </xf>
  </cellXfs>
  <cellStyles count="2">
    <cellStyle name="Normal" xfId="0" builtinId="0"/>
    <cellStyle name="Porcentaje" xfId="1" builtinId="5"/>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7"/>
  <sheetViews>
    <sheetView tabSelected="1" topLeftCell="A53" workbookViewId="0">
      <selection activeCell="G82" sqref="G81:G82"/>
    </sheetView>
  </sheetViews>
  <sheetFormatPr baseColWidth="10" defaultRowHeight="14.4" x14ac:dyDescent="0.3"/>
  <cols>
    <col min="1" max="1" width="12.88671875" customWidth="1"/>
    <col min="2" max="2" width="3.88671875" customWidth="1"/>
    <col min="3" max="3" width="33.109375" customWidth="1"/>
    <col min="4" max="4" width="8" customWidth="1"/>
    <col min="5" max="5" width="7.6640625" customWidth="1"/>
    <col min="6" max="6" width="11.21875" customWidth="1"/>
    <col min="7" max="7" width="13.44140625" customWidth="1"/>
    <col min="8" max="8" width="15.6640625" customWidth="1"/>
  </cols>
  <sheetData>
    <row r="1" spans="1:8" x14ac:dyDescent="0.3">
      <c r="A1" s="47" t="s">
        <v>169</v>
      </c>
      <c r="B1" s="48"/>
      <c r="C1" s="48"/>
      <c r="D1" s="48"/>
      <c r="E1" s="48"/>
      <c r="F1" s="48"/>
      <c r="G1" s="48"/>
      <c r="H1" s="48"/>
    </row>
    <row r="2" spans="1:8" ht="18" x14ac:dyDescent="0.3">
      <c r="A2" s="50"/>
      <c r="B2" s="51"/>
      <c r="C2" s="51"/>
      <c r="D2" s="51"/>
      <c r="E2" s="49" t="s">
        <v>164</v>
      </c>
      <c r="F2" s="49"/>
      <c r="G2" s="49" t="s">
        <v>165</v>
      </c>
      <c r="H2" s="49"/>
    </row>
    <row r="3" spans="1:8" x14ac:dyDescent="0.3">
      <c r="A3" s="1" t="s">
        <v>0</v>
      </c>
      <c r="B3" s="1" t="s">
        <v>1</v>
      </c>
      <c r="C3" s="2" t="s">
        <v>2</v>
      </c>
      <c r="D3" s="1" t="s">
        <v>168</v>
      </c>
      <c r="E3" s="1" t="s">
        <v>167</v>
      </c>
      <c r="F3" s="1" t="s">
        <v>166</v>
      </c>
      <c r="G3" s="1" t="s">
        <v>167</v>
      </c>
      <c r="H3" s="1" t="s">
        <v>166</v>
      </c>
    </row>
    <row r="4" spans="1:8" x14ac:dyDescent="0.3">
      <c r="A4" s="3" t="s">
        <v>3</v>
      </c>
      <c r="B4" s="3" t="s">
        <v>4</v>
      </c>
      <c r="C4" s="4" t="s">
        <v>5</v>
      </c>
      <c r="D4" s="5">
        <f>D11</f>
        <v>1</v>
      </c>
      <c r="E4" s="6">
        <f>E11</f>
        <v>10459.09</v>
      </c>
      <c r="F4" s="6">
        <f>F11</f>
        <v>10459.09</v>
      </c>
      <c r="G4" s="6">
        <f>G11</f>
        <v>1500</v>
      </c>
      <c r="H4" s="6">
        <f>H11</f>
        <v>1500</v>
      </c>
    </row>
    <row r="5" spans="1:8" ht="20.399999999999999" x14ac:dyDescent="0.3">
      <c r="A5" s="7" t="s">
        <v>6</v>
      </c>
      <c r="B5" s="8" t="s">
        <v>7</v>
      </c>
      <c r="C5" s="9" t="s">
        <v>8</v>
      </c>
      <c r="D5" s="10">
        <v>193</v>
      </c>
      <c r="E5" s="10">
        <f>20.78*1.06</f>
        <v>22.03</v>
      </c>
      <c r="F5" s="10">
        <f t="shared" ref="F5:F11" si="0">ROUND(D5*E5,2)</f>
        <v>4251.79</v>
      </c>
      <c r="G5" s="42"/>
      <c r="H5" s="10">
        <f t="shared" ref="H5:H11" si="1">ROUND(D5*G5,2)</f>
        <v>0</v>
      </c>
    </row>
    <row r="6" spans="1:8" ht="20.399999999999999" x14ac:dyDescent="0.3">
      <c r="A6" s="7" t="s">
        <v>9</v>
      </c>
      <c r="B6" s="8" t="s">
        <v>10</v>
      </c>
      <c r="C6" s="9" t="s">
        <v>11</v>
      </c>
      <c r="D6" s="10">
        <v>3</v>
      </c>
      <c r="E6" s="10">
        <f>225*1.06</f>
        <v>238.5</v>
      </c>
      <c r="F6" s="10">
        <f t="shared" si="0"/>
        <v>715.5</v>
      </c>
      <c r="G6" s="42"/>
      <c r="H6" s="10">
        <f t="shared" si="1"/>
        <v>0</v>
      </c>
    </row>
    <row r="7" spans="1:8" ht="20.399999999999999" x14ac:dyDescent="0.3">
      <c r="A7" s="7" t="s">
        <v>12</v>
      </c>
      <c r="B7" s="8" t="s">
        <v>10</v>
      </c>
      <c r="C7" s="9" t="s">
        <v>13</v>
      </c>
      <c r="D7" s="10">
        <v>3</v>
      </c>
      <c r="E7" s="10">
        <f>193.5*1.06</f>
        <v>205.11</v>
      </c>
      <c r="F7" s="10">
        <f t="shared" si="0"/>
        <v>615.33000000000004</v>
      </c>
      <c r="G7" s="42"/>
      <c r="H7" s="10">
        <f t="shared" si="1"/>
        <v>0</v>
      </c>
    </row>
    <row r="8" spans="1:8" ht="20.399999999999999" x14ac:dyDescent="0.3">
      <c r="A8" s="7" t="s">
        <v>14</v>
      </c>
      <c r="B8" s="8" t="s">
        <v>10</v>
      </c>
      <c r="C8" s="9" t="s">
        <v>15</v>
      </c>
      <c r="D8" s="10">
        <v>3</v>
      </c>
      <c r="E8" s="10">
        <f>836.78*1.06</f>
        <v>886.99</v>
      </c>
      <c r="F8" s="10">
        <f>ROUND(D8*E8,2)</f>
        <v>2660.97</v>
      </c>
      <c r="G8" s="42"/>
      <c r="H8" s="10">
        <f t="shared" si="1"/>
        <v>0</v>
      </c>
    </row>
    <row r="9" spans="1:8" ht="30.6" x14ac:dyDescent="0.3">
      <c r="A9" s="7" t="s">
        <v>16</v>
      </c>
      <c r="B9" s="8" t="s">
        <v>10</v>
      </c>
      <c r="C9" s="9" t="s">
        <v>17</v>
      </c>
      <c r="D9" s="10">
        <v>3</v>
      </c>
      <c r="E9" s="10">
        <f>225*1.06</f>
        <v>238.5</v>
      </c>
      <c r="F9" s="10">
        <f t="shared" si="0"/>
        <v>715.5</v>
      </c>
      <c r="G9" s="42"/>
      <c r="H9" s="10">
        <f t="shared" si="1"/>
        <v>0</v>
      </c>
    </row>
    <row r="10" spans="1:8" ht="20.399999999999999" x14ac:dyDescent="0.3">
      <c r="A10" s="7" t="s">
        <v>18</v>
      </c>
      <c r="B10" s="8" t="s">
        <v>19</v>
      </c>
      <c r="C10" s="9" t="s">
        <v>20</v>
      </c>
      <c r="D10" s="10">
        <v>1</v>
      </c>
      <c r="E10" s="10">
        <f>1415.09*1.06</f>
        <v>1500</v>
      </c>
      <c r="F10" s="10">
        <f t="shared" si="0"/>
        <v>1500</v>
      </c>
      <c r="G10" s="10">
        <f>1415.09*1.06</f>
        <v>1500</v>
      </c>
      <c r="H10" s="10">
        <f t="shared" si="1"/>
        <v>1500</v>
      </c>
    </row>
    <row r="11" spans="1:8" x14ac:dyDescent="0.3">
      <c r="A11" s="11"/>
      <c r="B11" s="11"/>
      <c r="C11" s="12" t="s">
        <v>21</v>
      </c>
      <c r="D11" s="13">
        <v>1</v>
      </c>
      <c r="E11" s="14">
        <f>SUM(F5:F10)</f>
        <v>10459.09</v>
      </c>
      <c r="F11" s="14">
        <f t="shared" si="0"/>
        <v>10459.09</v>
      </c>
      <c r="G11" s="14">
        <f>SUM(H5:H10)</f>
        <v>1500</v>
      </c>
      <c r="H11" s="14">
        <f t="shared" si="1"/>
        <v>1500</v>
      </c>
    </row>
    <row r="12" spans="1:8" ht="1.05" customHeight="1" x14ac:dyDescent="0.3">
      <c r="A12" s="15"/>
      <c r="B12" s="15"/>
      <c r="C12" s="16"/>
      <c r="D12" s="15"/>
      <c r="E12" s="15"/>
      <c r="F12" s="15"/>
      <c r="G12" s="15"/>
      <c r="H12" s="15"/>
    </row>
    <row r="13" spans="1:8" ht="20.399999999999999" x14ac:dyDescent="0.3">
      <c r="A13" s="3" t="s">
        <v>22</v>
      </c>
      <c r="B13" s="3" t="s">
        <v>4</v>
      </c>
      <c r="C13" s="4" t="s">
        <v>23</v>
      </c>
      <c r="D13" s="5">
        <f>D30</f>
        <v>1</v>
      </c>
      <c r="E13" s="6">
        <f>E30</f>
        <v>57777.74</v>
      </c>
      <c r="F13" s="6">
        <f>F30</f>
        <v>57777.74</v>
      </c>
      <c r="G13" s="6">
        <f>G30</f>
        <v>0</v>
      </c>
      <c r="H13" s="6">
        <f>H30</f>
        <v>0</v>
      </c>
    </row>
    <row r="14" spans="1:8" x14ac:dyDescent="0.3">
      <c r="A14" s="17" t="s">
        <v>24</v>
      </c>
      <c r="B14" s="17" t="s">
        <v>4</v>
      </c>
      <c r="C14" s="18" t="s">
        <v>25</v>
      </c>
      <c r="D14" s="19">
        <f>D18</f>
        <v>1</v>
      </c>
      <c r="E14" s="19">
        <f>E18</f>
        <v>13933.87</v>
      </c>
      <c r="F14" s="19">
        <f>F18</f>
        <v>13933.87</v>
      </c>
      <c r="G14" s="19">
        <f>G18</f>
        <v>0</v>
      </c>
      <c r="H14" s="19">
        <f>H18</f>
        <v>0</v>
      </c>
    </row>
    <row r="15" spans="1:8" ht="20.399999999999999" x14ac:dyDescent="0.3">
      <c r="A15" s="7" t="s">
        <v>26</v>
      </c>
      <c r="B15" s="8" t="s">
        <v>7</v>
      </c>
      <c r="C15" s="9" t="s">
        <v>27</v>
      </c>
      <c r="D15" s="10">
        <v>246</v>
      </c>
      <c r="E15" s="10">
        <f>9.98*1.06</f>
        <v>10.58</v>
      </c>
      <c r="F15" s="10">
        <f>ROUND(D15*E15,2)</f>
        <v>2602.6799999999998</v>
      </c>
      <c r="G15" s="42"/>
      <c r="H15" s="10">
        <f>ROUND(D15*G15,2)</f>
        <v>0</v>
      </c>
    </row>
    <row r="16" spans="1:8" ht="20.399999999999999" x14ac:dyDescent="0.3">
      <c r="A16" s="7" t="s">
        <v>28</v>
      </c>
      <c r="B16" s="8" t="s">
        <v>10</v>
      </c>
      <c r="C16" s="9" t="s">
        <v>29</v>
      </c>
      <c r="D16" s="10">
        <v>1</v>
      </c>
      <c r="E16" s="10">
        <f>5833.81*1.06</f>
        <v>6183.84</v>
      </c>
      <c r="F16" s="10">
        <f>ROUND(D16*E16,2)</f>
        <v>6183.84</v>
      </c>
      <c r="G16" s="42"/>
      <c r="H16" s="10">
        <f>ROUND(D16*G16,2)</f>
        <v>0</v>
      </c>
    </row>
    <row r="17" spans="1:8" ht="20.399999999999999" x14ac:dyDescent="0.3">
      <c r="A17" s="7" t="s">
        <v>30</v>
      </c>
      <c r="B17" s="8" t="s">
        <v>10</v>
      </c>
      <c r="C17" s="9" t="s">
        <v>31</v>
      </c>
      <c r="D17" s="10">
        <v>1</v>
      </c>
      <c r="E17" s="10">
        <f>4855.99*1.06</f>
        <v>5147.3500000000004</v>
      </c>
      <c r="F17" s="10">
        <f>ROUND(D17*E17,2)</f>
        <v>5147.3500000000004</v>
      </c>
      <c r="G17" s="42"/>
      <c r="H17" s="10">
        <f>ROUND(D17*G17,2)</f>
        <v>0</v>
      </c>
    </row>
    <row r="18" spans="1:8" x14ac:dyDescent="0.3">
      <c r="A18" s="11"/>
      <c r="B18" s="11"/>
      <c r="C18" s="12" t="s">
        <v>32</v>
      </c>
      <c r="D18" s="10">
        <v>1</v>
      </c>
      <c r="E18" s="14">
        <f>SUM(F15:F17)</f>
        <v>13933.87</v>
      </c>
      <c r="F18" s="14">
        <f>ROUND(D18*E18,2)</f>
        <v>13933.87</v>
      </c>
      <c r="G18" s="14">
        <f>SUM(H15:H17)</f>
        <v>0</v>
      </c>
      <c r="H18" s="14">
        <f>ROUND(D18*G18,2)</f>
        <v>0</v>
      </c>
    </row>
    <row r="19" spans="1:8" ht="1.05" customHeight="1" x14ac:dyDescent="0.3">
      <c r="A19" s="15"/>
      <c r="B19" s="15"/>
      <c r="C19" s="16"/>
      <c r="D19" s="15"/>
      <c r="E19" s="15"/>
      <c r="F19" s="15"/>
      <c r="G19" s="15"/>
      <c r="H19" s="15"/>
    </row>
    <row r="20" spans="1:8" x14ac:dyDescent="0.3">
      <c r="A20" s="17" t="s">
        <v>33</v>
      </c>
      <c r="B20" s="17" t="s">
        <v>4</v>
      </c>
      <c r="C20" s="18" t="s">
        <v>34</v>
      </c>
      <c r="D20" s="19">
        <f>D28</f>
        <v>1</v>
      </c>
      <c r="E20" s="19">
        <f>E28</f>
        <v>43843.87</v>
      </c>
      <c r="F20" s="19">
        <f>F28</f>
        <v>43843.87</v>
      </c>
      <c r="G20" s="19">
        <f>G28</f>
        <v>0</v>
      </c>
      <c r="H20" s="19">
        <f>H28</f>
        <v>0</v>
      </c>
    </row>
    <row r="21" spans="1:8" ht="20.399999999999999" x14ac:dyDescent="0.3">
      <c r="A21" s="7" t="s">
        <v>35</v>
      </c>
      <c r="B21" s="8" t="s">
        <v>36</v>
      </c>
      <c r="C21" s="9" t="s">
        <v>37</v>
      </c>
      <c r="D21" s="10">
        <v>150.16</v>
      </c>
      <c r="E21" s="10">
        <f>177.34*1.06</f>
        <v>187.98</v>
      </c>
      <c r="F21" s="10">
        <f t="shared" ref="F21:F28" si="2">ROUND(D21*E21,2)</f>
        <v>28227.08</v>
      </c>
      <c r="G21" s="42"/>
      <c r="H21" s="10">
        <f t="shared" ref="H21:H28" si="3">ROUND(D21*G21,2)</f>
        <v>0</v>
      </c>
    </row>
    <row r="22" spans="1:8" ht="20.399999999999999" x14ac:dyDescent="0.3">
      <c r="A22" s="7" t="s">
        <v>38</v>
      </c>
      <c r="B22" s="8" t="s">
        <v>10</v>
      </c>
      <c r="C22" s="9" t="s">
        <v>39</v>
      </c>
      <c r="D22" s="10">
        <v>4</v>
      </c>
      <c r="E22" s="10">
        <f>39.24*1.06</f>
        <v>41.59</v>
      </c>
      <c r="F22" s="10">
        <f t="shared" si="2"/>
        <v>166.36</v>
      </c>
      <c r="G22" s="42"/>
      <c r="H22" s="10">
        <f t="shared" si="3"/>
        <v>0</v>
      </c>
    </row>
    <row r="23" spans="1:8" ht="20.399999999999999" x14ac:dyDescent="0.3">
      <c r="A23" s="7" t="s">
        <v>40</v>
      </c>
      <c r="B23" s="8" t="s">
        <v>10</v>
      </c>
      <c r="C23" s="9" t="s">
        <v>41</v>
      </c>
      <c r="D23" s="10">
        <v>24</v>
      </c>
      <c r="E23" s="10">
        <f>33.87*1.06</f>
        <v>35.9</v>
      </c>
      <c r="F23" s="10">
        <f t="shared" si="2"/>
        <v>861.6</v>
      </c>
      <c r="G23" s="42"/>
      <c r="H23" s="10">
        <f t="shared" si="3"/>
        <v>0</v>
      </c>
    </row>
    <row r="24" spans="1:8" ht="20.399999999999999" x14ac:dyDescent="0.3">
      <c r="A24" s="7" t="s">
        <v>42</v>
      </c>
      <c r="B24" s="8" t="s">
        <v>10</v>
      </c>
      <c r="C24" s="9" t="s">
        <v>43</v>
      </c>
      <c r="D24" s="10">
        <v>215</v>
      </c>
      <c r="E24" s="10">
        <f>26.15*1.06</f>
        <v>27.72</v>
      </c>
      <c r="F24" s="10">
        <f t="shared" si="2"/>
        <v>5959.8</v>
      </c>
      <c r="G24" s="42"/>
      <c r="H24" s="10">
        <f t="shared" si="3"/>
        <v>0</v>
      </c>
    </row>
    <row r="25" spans="1:8" ht="20.399999999999999" x14ac:dyDescent="0.3">
      <c r="A25" s="7" t="s">
        <v>44</v>
      </c>
      <c r="B25" s="8" t="s">
        <v>7</v>
      </c>
      <c r="C25" s="9" t="s">
        <v>45</v>
      </c>
      <c r="D25" s="10">
        <v>130</v>
      </c>
      <c r="E25" s="10">
        <f>7.68*1.06</f>
        <v>8.14</v>
      </c>
      <c r="F25" s="10">
        <f t="shared" si="2"/>
        <v>1058.2</v>
      </c>
      <c r="G25" s="42"/>
      <c r="H25" s="10">
        <f t="shared" si="3"/>
        <v>0</v>
      </c>
    </row>
    <row r="26" spans="1:8" ht="30.6" x14ac:dyDescent="0.3">
      <c r="A26" s="7" t="s">
        <v>46</v>
      </c>
      <c r="B26" s="8" t="s">
        <v>36</v>
      </c>
      <c r="C26" s="9" t="s">
        <v>47</v>
      </c>
      <c r="D26" s="10">
        <v>10.220000000000001</v>
      </c>
      <c r="E26" s="10">
        <f>248.95*1.06</f>
        <v>263.89</v>
      </c>
      <c r="F26" s="10">
        <f t="shared" si="2"/>
        <v>2696.96</v>
      </c>
      <c r="G26" s="42"/>
      <c r="H26" s="10">
        <f t="shared" si="3"/>
        <v>0</v>
      </c>
    </row>
    <row r="27" spans="1:8" ht="20.399999999999999" x14ac:dyDescent="0.3">
      <c r="A27" s="7" t="s">
        <v>48</v>
      </c>
      <c r="B27" s="8" t="s">
        <v>36</v>
      </c>
      <c r="C27" s="9" t="s">
        <v>49</v>
      </c>
      <c r="D27" s="10">
        <v>165.16</v>
      </c>
      <c r="E27" s="10">
        <f>27.84*1.06</f>
        <v>29.51</v>
      </c>
      <c r="F27" s="10">
        <f t="shared" si="2"/>
        <v>4873.87</v>
      </c>
      <c r="G27" s="42"/>
      <c r="H27" s="10">
        <f t="shared" si="3"/>
        <v>0</v>
      </c>
    </row>
    <row r="28" spans="1:8" x14ac:dyDescent="0.3">
      <c r="A28" s="11"/>
      <c r="B28" s="11"/>
      <c r="C28" s="12" t="s">
        <v>50</v>
      </c>
      <c r="D28" s="10">
        <v>1</v>
      </c>
      <c r="E28" s="14">
        <f>SUM(F21:F27)</f>
        <v>43843.87</v>
      </c>
      <c r="F28" s="14">
        <f t="shared" si="2"/>
        <v>43843.87</v>
      </c>
      <c r="G28" s="14">
        <f>SUM(H21:H27)</f>
        <v>0</v>
      </c>
      <c r="H28" s="14">
        <f t="shared" si="3"/>
        <v>0</v>
      </c>
    </row>
    <row r="29" spans="1:8" ht="1.05" customHeight="1" x14ac:dyDescent="0.3">
      <c r="A29" s="15"/>
      <c r="B29" s="15"/>
      <c r="C29" s="16"/>
      <c r="D29" s="15"/>
      <c r="E29" s="15"/>
      <c r="F29" s="15"/>
      <c r="G29" s="15"/>
      <c r="H29" s="15"/>
    </row>
    <row r="30" spans="1:8" x14ac:dyDescent="0.3">
      <c r="A30" s="11"/>
      <c r="B30" s="11"/>
      <c r="C30" s="12" t="s">
        <v>51</v>
      </c>
      <c r="D30" s="13">
        <v>1</v>
      </c>
      <c r="E30" s="14">
        <f>F14+F20</f>
        <v>57777.74</v>
      </c>
      <c r="F30" s="14">
        <f>ROUND(D30*E30,2)</f>
        <v>57777.74</v>
      </c>
      <c r="G30" s="14">
        <f>H14+H20</f>
        <v>0</v>
      </c>
      <c r="H30" s="14">
        <f>ROUND(D30*G30,2)</f>
        <v>0</v>
      </c>
    </row>
    <row r="31" spans="1:8" ht="1.05" customHeight="1" x14ac:dyDescent="0.3">
      <c r="A31" s="15"/>
      <c r="B31" s="15"/>
      <c r="C31" s="16"/>
      <c r="D31" s="15"/>
      <c r="E31" s="15"/>
      <c r="F31" s="15"/>
      <c r="G31" s="15"/>
      <c r="H31" s="15"/>
    </row>
    <row r="32" spans="1:8" x14ac:dyDescent="0.3">
      <c r="A32" s="3" t="s">
        <v>52</v>
      </c>
      <c r="B32" s="3" t="s">
        <v>4</v>
      </c>
      <c r="C32" s="4" t="s">
        <v>53</v>
      </c>
      <c r="D32" s="5">
        <f>D77</f>
        <v>1</v>
      </c>
      <c r="E32" s="6">
        <f>E77</f>
        <v>160688.87</v>
      </c>
      <c r="F32" s="6">
        <f>F77</f>
        <v>160688.87</v>
      </c>
      <c r="G32" s="6">
        <f>G77</f>
        <v>3000</v>
      </c>
      <c r="H32" s="6">
        <f>H77</f>
        <v>3000</v>
      </c>
    </row>
    <row r="33" spans="1:8" x14ac:dyDescent="0.3">
      <c r="A33" s="17" t="s">
        <v>54</v>
      </c>
      <c r="B33" s="17" t="s">
        <v>4</v>
      </c>
      <c r="C33" s="18" t="s">
        <v>55</v>
      </c>
      <c r="D33" s="19">
        <f>D49</f>
        <v>1</v>
      </c>
      <c r="E33" s="19">
        <f>E49</f>
        <v>94741.03</v>
      </c>
      <c r="F33" s="19">
        <f>F49</f>
        <v>94741.03</v>
      </c>
      <c r="G33" s="19">
        <f>G49</f>
        <v>1500</v>
      </c>
      <c r="H33" s="19">
        <f>H49</f>
        <v>1500</v>
      </c>
    </row>
    <row r="34" spans="1:8" ht="20.399999999999999" x14ac:dyDescent="0.3">
      <c r="A34" s="7" t="s">
        <v>56</v>
      </c>
      <c r="B34" s="8" t="s">
        <v>10</v>
      </c>
      <c r="C34" s="9" t="s">
        <v>57</v>
      </c>
      <c r="D34" s="10">
        <v>1</v>
      </c>
      <c r="E34" s="10">
        <f>1663.03*1.06</f>
        <v>1762.81</v>
      </c>
      <c r="F34" s="10">
        <f t="shared" ref="F34:F49" si="4">ROUND(D34*E34,2)</f>
        <v>1762.81</v>
      </c>
      <c r="G34" s="42"/>
      <c r="H34" s="10">
        <f t="shared" ref="H34:H49" si="5">ROUND(D34*G34,2)</f>
        <v>0</v>
      </c>
    </row>
    <row r="35" spans="1:8" ht="20.399999999999999" x14ac:dyDescent="0.3">
      <c r="A35" s="7" t="s">
        <v>58</v>
      </c>
      <c r="B35" s="8" t="s">
        <v>10</v>
      </c>
      <c r="C35" s="9" t="s">
        <v>59</v>
      </c>
      <c r="D35" s="10">
        <v>1</v>
      </c>
      <c r="E35" s="10">
        <f>1656.8*1.06</f>
        <v>1756.21</v>
      </c>
      <c r="F35" s="10">
        <f t="shared" si="4"/>
        <v>1756.21</v>
      </c>
      <c r="G35" s="42"/>
      <c r="H35" s="10">
        <f t="shared" si="5"/>
        <v>0</v>
      </c>
    </row>
    <row r="36" spans="1:8" ht="30.6" x14ac:dyDescent="0.3">
      <c r="A36" s="7" t="s">
        <v>60</v>
      </c>
      <c r="B36" s="8" t="s">
        <v>10</v>
      </c>
      <c r="C36" s="9" t="s">
        <v>61</v>
      </c>
      <c r="D36" s="10">
        <v>1</v>
      </c>
      <c r="E36" s="10">
        <f>25440.42*1.06</f>
        <v>26966.85</v>
      </c>
      <c r="F36" s="10">
        <f t="shared" si="4"/>
        <v>26966.85</v>
      </c>
      <c r="G36" s="42"/>
      <c r="H36" s="10">
        <f t="shared" si="5"/>
        <v>0</v>
      </c>
    </row>
    <row r="37" spans="1:8" ht="30.6" x14ac:dyDescent="0.3">
      <c r="A37" s="7" t="s">
        <v>62</v>
      </c>
      <c r="B37" s="8" t="s">
        <v>10</v>
      </c>
      <c r="C37" s="9" t="s">
        <v>63</v>
      </c>
      <c r="D37" s="10">
        <v>1</v>
      </c>
      <c r="E37" s="10">
        <f>17013.55*1.06</f>
        <v>18034.36</v>
      </c>
      <c r="F37" s="10">
        <f t="shared" si="4"/>
        <v>18034.36</v>
      </c>
      <c r="G37" s="42"/>
      <c r="H37" s="10">
        <f t="shared" si="5"/>
        <v>0</v>
      </c>
    </row>
    <row r="38" spans="1:8" x14ac:dyDescent="0.3">
      <c r="A38" s="7" t="s">
        <v>64</v>
      </c>
      <c r="B38" s="8" t="s">
        <v>7</v>
      </c>
      <c r="C38" s="9" t="s">
        <v>65</v>
      </c>
      <c r="D38" s="10">
        <v>210</v>
      </c>
      <c r="E38" s="10">
        <f>37.9*1.06</f>
        <v>40.17</v>
      </c>
      <c r="F38" s="10">
        <f t="shared" si="4"/>
        <v>8435.7000000000007</v>
      </c>
      <c r="G38" s="42"/>
      <c r="H38" s="10">
        <f t="shared" si="5"/>
        <v>0</v>
      </c>
    </row>
    <row r="39" spans="1:8" ht="20.399999999999999" x14ac:dyDescent="0.3">
      <c r="A39" s="7" t="s">
        <v>66</v>
      </c>
      <c r="B39" s="8" t="s">
        <v>10</v>
      </c>
      <c r="C39" s="9" t="s">
        <v>67</v>
      </c>
      <c r="D39" s="10">
        <v>5</v>
      </c>
      <c r="E39" s="10">
        <f>810*1.06</f>
        <v>858.6</v>
      </c>
      <c r="F39" s="10">
        <f t="shared" si="4"/>
        <v>4293</v>
      </c>
      <c r="G39" s="42"/>
      <c r="H39" s="10">
        <f t="shared" si="5"/>
        <v>0</v>
      </c>
    </row>
    <row r="40" spans="1:8" ht="20.399999999999999" x14ac:dyDescent="0.3">
      <c r="A40" s="7" t="s">
        <v>68</v>
      </c>
      <c r="B40" s="8" t="s">
        <v>7</v>
      </c>
      <c r="C40" s="9" t="s">
        <v>69</v>
      </c>
      <c r="D40" s="10">
        <v>450</v>
      </c>
      <c r="E40" s="10">
        <f>1.7*1.06</f>
        <v>1.8</v>
      </c>
      <c r="F40" s="10">
        <f t="shared" si="4"/>
        <v>810</v>
      </c>
      <c r="G40" s="42"/>
      <c r="H40" s="10">
        <f t="shared" si="5"/>
        <v>0</v>
      </c>
    </row>
    <row r="41" spans="1:8" ht="20.399999999999999" x14ac:dyDescent="0.3">
      <c r="A41" s="7" t="s">
        <v>70</v>
      </c>
      <c r="B41" s="8" t="s">
        <v>7</v>
      </c>
      <c r="C41" s="9" t="s">
        <v>71</v>
      </c>
      <c r="D41" s="10">
        <v>210</v>
      </c>
      <c r="E41" s="10">
        <f>11.31*1.06</f>
        <v>11.99</v>
      </c>
      <c r="F41" s="10">
        <f t="shared" si="4"/>
        <v>2517.9</v>
      </c>
      <c r="G41" s="42"/>
      <c r="H41" s="10">
        <f t="shared" si="5"/>
        <v>0</v>
      </c>
    </row>
    <row r="42" spans="1:8" ht="20.399999999999999" x14ac:dyDescent="0.3">
      <c r="A42" s="7" t="s">
        <v>72</v>
      </c>
      <c r="B42" s="8" t="s">
        <v>10</v>
      </c>
      <c r="C42" s="9" t="s">
        <v>73</v>
      </c>
      <c r="D42" s="10">
        <v>5</v>
      </c>
      <c r="E42" s="10">
        <f>159.81*1.06</f>
        <v>169.4</v>
      </c>
      <c r="F42" s="10">
        <f t="shared" si="4"/>
        <v>847</v>
      </c>
      <c r="G42" s="42"/>
      <c r="H42" s="10">
        <f t="shared" si="5"/>
        <v>0</v>
      </c>
    </row>
    <row r="43" spans="1:8" ht="20.399999999999999" x14ac:dyDescent="0.3">
      <c r="A43" s="7" t="s">
        <v>74</v>
      </c>
      <c r="B43" s="8" t="s">
        <v>10</v>
      </c>
      <c r="C43" s="9" t="s">
        <v>75</v>
      </c>
      <c r="D43" s="10">
        <v>20</v>
      </c>
      <c r="E43" s="10">
        <f>58.2*1.06</f>
        <v>61.69</v>
      </c>
      <c r="F43" s="10">
        <f t="shared" si="4"/>
        <v>1233.8</v>
      </c>
      <c r="G43" s="42"/>
      <c r="H43" s="10">
        <f t="shared" si="5"/>
        <v>0</v>
      </c>
    </row>
    <row r="44" spans="1:8" ht="30.6" x14ac:dyDescent="0.3">
      <c r="A44" s="7" t="s">
        <v>76</v>
      </c>
      <c r="B44" s="8" t="s">
        <v>10</v>
      </c>
      <c r="C44" s="9" t="s">
        <v>77</v>
      </c>
      <c r="D44" s="10">
        <v>230</v>
      </c>
      <c r="E44" s="10">
        <f>56.04*1.06</f>
        <v>59.4</v>
      </c>
      <c r="F44" s="10">
        <f t="shared" si="4"/>
        <v>13662</v>
      </c>
      <c r="G44" s="42"/>
      <c r="H44" s="10">
        <f t="shared" si="5"/>
        <v>0</v>
      </c>
    </row>
    <row r="45" spans="1:8" ht="20.399999999999999" x14ac:dyDescent="0.3">
      <c r="A45" s="7" t="s">
        <v>78</v>
      </c>
      <c r="B45" s="8" t="s">
        <v>10</v>
      </c>
      <c r="C45" s="9" t="s">
        <v>79</v>
      </c>
      <c r="D45" s="10">
        <v>230</v>
      </c>
      <c r="E45" s="10">
        <f>3.63*1.06</f>
        <v>3.85</v>
      </c>
      <c r="F45" s="10">
        <f t="shared" si="4"/>
        <v>885.5</v>
      </c>
      <c r="G45" s="42"/>
      <c r="H45" s="10">
        <f t="shared" si="5"/>
        <v>0</v>
      </c>
    </row>
    <row r="46" spans="1:8" ht="30.6" x14ac:dyDescent="0.3">
      <c r="A46" s="7" t="s">
        <v>80</v>
      </c>
      <c r="B46" s="8" t="s">
        <v>10</v>
      </c>
      <c r="C46" s="9" t="s">
        <v>81</v>
      </c>
      <c r="D46" s="10">
        <v>230</v>
      </c>
      <c r="E46" s="10">
        <f>12.2*1.06</f>
        <v>12.93</v>
      </c>
      <c r="F46" s="10">
        <f t="shared" si="4"/>
        <v>2973.9</v>
      </c>
      <c r="G46" s="42"/>
      <c r="H46" s="10">
        <f t="shared" si="5"/>
        <v>0</v>
      </c>
    </row>
    <row r="47" spans="1:8" ht="30.6" x14ac:dyDescent="0.3">
      <c r="A47" s="7" t="s">
        <v>82</v>
      </c>
      <c r="B47" s="8" t="s">
        <v>10</v>
      </c>
      <c r="C47" s="9" t="s">
        <v>83</v>
      </c>
      <c r="D47" s="10">
        <v>230</v>
      </c>
      <c r="E47" s="10">
        <f>37.17*1.06</f>
        <v>39.4</v>
      </c>
      <c r="F47" s="10">
        <f t="shared" si="4"/>
        <v>9062</v>
      </c>
      <c r="G47" s="42"/>
      <c r="H47" s="10">
        <f t="shared" si="5"/>
        <v>0</v>
      </c>
    </row>
    <row r="48" spans="1:8" ht="20.399999999999999" x14ac:dyDescent="0.3">
      <c r="A48" s="7" t="s">
        <v>84</v>
      </c>
      <c r="B48" s="8" t="s">
        <v>19</v>
      </c>
      <c r="C48" s="9" t="s">
        <v>85</v>
      </c>
      <c r="D48" s="10">
        <v>1</v>
      </c>
      <c r="E48" s="10">
        <f>1415.09*1.06</f>
        <v>1500</v>
      </c>
      <c r="F48" s="10">
        <f t="shared" si="4"/>
        <v>1500</v>
      </c>
      <c r="G48" s="10">
        <f>1415.09*1.06</f>
        <v>1500</v>
      </c>
      <c r="H48" s="10">
        <f t="shared" si="5"/>
        <v>1500</v>
      </c>
    </row>
    <row r="49" spans="1:9" x14ac:dyDescent="0.3">
      <c r="A49" s="11"/>
      <c r="B49" s="11"/>
      <c r="C49" s="12" t="s">
        <v>86</v>
      </c>
      <c r="D49" s="10">
        <v>1</v>
      </c>
      <c r="E49" s="14">
        <f>SUM(F34:F48)</f>
        <v>94741.03</v>
      </c>
      <c r="F49" s="14">
        <f t="shared" si="4"/>
        <v>94741.03</v>
      </c>
      <c r="G49" s="14">
        <f>SUM(H34:H48)</f>
        <v>1500</v>
      </c>
      <c r="H49" s="14">
        <f t="shared" si="5"/>
        <v>1500</v>
      </c>
    </row>
    <row r="50" spans="1:9" ht="1.05" customHeight="1" x14ac:dyDescent="0.3">
      <c r="A50" s="15"/>
      <c r="B50" s="15"/>
      <c r="C50" s="16"/>
      <c r="D50" s="15"/>
      <c r="E50" s="15"/>
      <c r="F50" s="15"/>
      <c r="G50" s="15"/>
      <c r="H50" s="15"/>
    </row>
    <row r="51" spans="1:9" x14ac:dyDescent="0.3">
      <c r="A51" s="17" t="s">
        <v>87</v>
      </c>
      <c r="B51" s="17" t="s">
        <v>4</v>
      </c>
      <c r="C51" s="18" t="s">
        <v>88</v>
      </c>
      <c r="D51" s="19">
        <f>D54</f>
        <v>1</v>
      </c>
      <c r="E51" s="19">
        <f>E54</f>
        <v>18953.78</v>
      </c>
      <c r="F51" s="19">
        <f>F54</f>
        <v>18953.78</v>
      </c>
      <c r="G51" s="19">
        <f>G54</f>
        <v>0</v>
      </c>
      <c r="H51" s="19">
        <f>H54</f>
        <v>0</v>
      </c>
    </row>
    <row r="52" spans="1:9" ht="20.399999999999999" x14ac:dyDescent="0.3">
      <c r="A52" s="7" t="s">
        <v>89</v>
      </c>
      <c r="B52" s="8" t="s">
        <v>10</v>
      </c>
      <c r="C52" s="9" t="s">
        <v>90</v>
      </c>
      <c r="D52" s="10">
        <v>42</v>
      </c>
      <c r="E52" s="10">
        <f>235.81*1.06</f>
        <v>249.96</v>
      </c>
      <c r="F52" s="10">
        <f>ROUND(D52*E52,2)</f>
        <v>10498.32</v>
      </c>
      <c r="G52" s="42"/>
      <c r="H52" s="10">
        <f>ROUND(D52*G52,2)</f>
        <v>0</v>
      </c>
    </row>
    <row r="53" spans="1:9" ht="30.6" x14ac:dyDescent="0.3">
      <c r="A53" s="7" t="s">
        <v>91</v>
      </c>
      <c r="B53" s="8" t="s">
        <v>10</v>
      </c>
      <c r="C53" s="9" t="s">
        <v>92</v>
      </c>
      <c r="D53" s="10">
        <v>26</v>
      </c>
      <c r="E53" s="10">
        <f>306.8*1.06</f>
        <v>325.20999999999998</v>
      </c>
      <c r="F53" s="10">
        <f>ROUND(D53*E53,2)</f>
        <v>8455.4599999999991</v>
      </c>
      <c r="G53" s="42"/>
      <c r="H53" s="10">
        <f>ROUND(D53*G53,2)</f>
        <v>0</v>
      </c>
    </row>
    <row r="54" spans="1:9" x14ac:dyDescent="0.3">
      <c r="A54" s="11"/>
      <c r="B54" s="11"/>
      <c r="C54" s="12" t="s">
        <v>93</v>
      </c>
      <c r="D54" s="10">
        <v>1</v>
      </c>
      <c r="E54" s="14">
        <f>SUM(F52:F53)</f>
        <v>18953.78</v>
      </c>
      <c r="F54" s="14">
        <f>ROUND(D54*E54,2)</f>
        <v>18953.78</v>
      </c>
      <c r="G54" s="14">
        <f>SUM(H52:H53)</f>
        <v>0</v>
      </c>
      <c r="H54" s="14">
        <f>ROUND(D54*G54,2)</f>
        <v>0</v>
      </c>
    </row>
    <row r="55" spans="1:9" ht="1.05" customHeight="1" x14ac:dyDescent="0.3">
      <c r="A55" s="15"/>
      <c r="B55" s="15"/>
      <c r="C55" s="16"/>
      <c r="D55" s="15"/>
      <c r="E55" s="15"/>
      <c r="F55" s="15"/>
      <c r="G55" s="15"/>
      <c r="H55" s="15"/>
    </row>
    <row r="56" spans="1:9" x14ac:dyDescent="0.3">
      <c r="A56" s="17" t="s">
        <v>94</v>
      </c>
      <c r="B56" s="17" t="s">
        <v>4</v>
      </c>
      <c r="C56" s="18" t="s">
        <v>95</v>
      </c>
      <c r="D56" s="19">
        <f>D58</f>
        <v>1</v>
      </c>
      <c r="E56" s="19">
        <f>E58</f>
        <v>38456.65</v>
      </c>
      <c r="F56" s="19">
        <f>F58</f>
        <v>38456.65</v>
      </c>
      <c r="G56" s="19">
        <f>G58</f>
        <v>0</v>
      </c>
      <c r="H56" s="19">
        <f>H58</f>
        <v>0</v>
      </c>
    </row>
    <row r="57" spans="1:9" ht="30.6" x14ac:dyDescent="0.3">
      <c r="A57" s="7" t="s">
        <v>96</v>
      </c>
      <c r="B57" s="8" t="s">
        <v>36</v>
      </c>
      <c r="C57" s="9" t="s">
        <v>97</v>
      </c>
      <c r="D57" s="10">
        <v>179.26</v>
      </c>
      <c r="E57" s="10">
        <f>202.39*1.06</f>
        <v>214.53</v>
      </c>
      <c r="F57" s="10">
        <f>ROUND(D57*E57,2)</f>
        <v>38456.65</v>
      </c>
      <c r="G57" s="42"/>
      <c r="H57" s="10">
        <f>ROUND(D57*G57,2)</f>
        <v>0</v>
      </c>
    </row>
    <row r="58" spans="1:9" x14ac:dyDescent="0.3">
      <c r="A58" s="11"/>
      <c r="B58" s="11"/>
      <c r="C58" s="12" t="s">
        <v>98</v>
      </c>
      <c r="D58" s="10">
        <v>1</v>
      </c>
      <c r="E58" s="14">
        <f>F57</f>
        <v>38456.65</v>
      </c>
      <c r="F58" s="14">
        <f>ROUND(D58*E58,2)</f>
        <v>38456.65</v>
      </c>
      <c r="G58" s="14">
        <f>H57</f>
        <v>0</v>
      </c>
      <c r="H58" s="14">
        <f>ROUND(D58*G58,2)</f>
        <v>0</v>
      </c>
    </row>
    <row r="59" spans="1:9" ht="1.05" customHeight="1" x14ac:dyDescent="0.3">
      <c r="A59" s="15"/>
      <c r="B59" s="15"/>
      <c r="C59" s="16"/>
      <c r="D59" s="15"/>
      <c r="E59" s="15"/>
      <c r="F59" s="15"/>
      <c r="G59" s="15"/>
      <c r="H59" s="15"/>
    </row>
    <row r="60" spans="1:9" x14ac:dyDescent="0.3">
      <c r="A60" s="17" t="s">
        <v>99</v>
      </c>
      <c r="B60" s="17" t="s">
        <v>4</v>
      </c>
      <c r="C60" s="18" t="s">
        <v>100</v>
      </c>
      <c r="D60" s="19">
        <f>D65</f>
        <v>1</v>
      </c>
      <c r="E60" s="19">
        <f>E65</f>
        <v>4798.3</v>
      </c>
      <c r="F60" s="19">
        <f>F65</f>
        <v>4798.3</v>
      </c>
      <c r="G60" s="19">
        <f>G65</f>
        <v>1500</v>
      </c>
      <c r="H60" s="19">
        <f>H65</f>
        <v>1500</v>
      </c>
    </row>
    <row r="61" spans="1:9" ht="30.6" x14ac:dyDescent="0.3">
      <c r="A61" s="7" t="s">
        <v>101</v>
      </c>
      <c r="B61" s="8" t="s">
        <v>10</v>
      </c>
      <c r="C61" s="9" t="s">
        <v>102</v>
      </c>
      <c r="D61" s="10">
        <v>88</v>
      </c>
      <c r="E61" s="10">
        <f>23.21*1.06</f>
        <v>24.6</v>
      </c>
      <c r="F61" s="10">
        <f>ROUND(D61*E61,2)</f>
        <v>2164.8000000000002</v>
      </c>
      <c r="G61" s="42"/>
      <c r="H61" s="10">
        <f>ROUND(D61*G61,2)</f>
        <v>0</v>
      </c>
    </row>
    <row r="62" spans="1:9" ht="20.399999999999999" x14ac:dyDescent="0.3">
      <c r="A62" s="7" t="s">
        <v>103</v>
      </c>
      <c r="B62" s="8" t="s">
        <v>10</v>
      </c>
      <c r="C62" s="9" t="s">
        <v>104</v>
      </c>
      <c r="D62" s="10">
        <v>4</v>
      </c>
      <c r="E62" s="10">
        <f>215.78*1.06</f>
        <v>228.73</v>
      </c>
      <c r="F62" s="10">
        <f>ROUND(D62*E62,2)</f>
        <v>914.92</v>
      </c>
      <c r="G62" s="42"/>
      <c r="H62" s="10">
        <f>ROUND(D62*G62,2)</f>
        <v>0</v>
      </c>
    </row>
    <row r="63" spans="1:9" ht="24" customHeight="1" x14ac:dyDescent="0.3">
      <c r="A63" s="7" t="s">
        <v>105</v>
      </c>
      <c r="B63" s="8" t="s">
        <v>7</v>
      </c>
      <c r="C63" s="9" t="s">
        <v>106</v>
      </c>
      <c r="D63" s="10">
        <v>6</v>
      </c>
      <c r="E63" s="10">
        <f>34.37*1.06</f>
        <v>36.43</v>
      </c>
      <c r="F63" s="10">
        <f>ROUND(D63*E63,2)</f>
        <v>218.58</v>
      </c>
      <c r="G63" s="42"/>
      <c r="H63" s="10">
        <f>ROUND(D63*G63,2)</f>
        <v>0</v>
      </c>
      <c r="I63" s="41"/>
    </row>
    <row r="64" spans="1:9" ht="20.399999999999999" x14ac:dyDescent="0.3">
      <c r="A64" s="7" t="s">
        <v>107</v>
      </c>
      <c r="B64" s="8" t="s">
        <v>19</v>
      </c>
      <c r="C64" s="9" t="s">
        <v>108</v>
      </c>
      <c r="D64" s="10">
        <v>1</v>
      </c>
      <c r="E64" s="10">
        <f>1415.09*1.06</f>
        <v>1500</v>
      </c>
      <c r="F64" s="10">
        <f>ROUND(D64*E64,2)</f>
        <v>1500</v>
      </c>
      <c r="G64" s="10">
        <f>1415.09*1.06</f>
        <v>1500</v>
      </c>
      <c r="H64" s="10">
        <f>ROUND(D64*G64,2)</f>
        <v>1500</v>
      </c>
    </row>
    <row r="65" spans="1:8" x14ac:dyDescent="0.3">
      <c r="A65" s="11"/>
      <c r="B65" s="11"/>
      <c r="C65" s="12" t="s">
        <v>109</v>
      </c>
      <c r="D65" s="10">
        <v>1</v>
      </c>
      <c r="E65" s="14">
        <f>SUM(F61:F64)</f>
        <v>4798.3</v>
      </c>
      <c r="F65" s="14">
        <f>ROUND(D65*E65,2)</f>
        <v>4798.3</v>
      </c>
      <c r="G65" s="14">
        <f>SUM(H61:H64)</f>
        <v>1500</v>
      </c>
      <c r="H65" s="14">
        <f>ROUND(D65*G65,2)</f>
        <v>1500</v>
      </c>
    </row>
    <row r="66" spans="1:8" ht="1.05" customHeight="1" x14ac:dyDescent="0.3">
      <c r="A66" s="15"/>
      <c r="B66" s="15"/>
      <c r="C66" s="16"/>
      <c r="D66" s="15"/>
      <c r="E66" s="15"/>
      <c r="F66" s="15"/>
      <c r="G66" s="15"/>
      <c r="H66" s="15"/>
    </row>
    <row r="67" spans="1:8" x14ac:dyDescent="0.3">
      <c r="A67" s="17" t="s">
        <v>110</v>
      </c>
      <c r="B67" s="17" t="s">
        <v>4</v>
      </c>
      <c r="C67" s="18" t="s">
        <v>111</v>
      </c>
      <c r="D67" s="19">
        <f>D71</f>
        <v>1</v>
      </c>
      <c r="E67" s="19">
        <f>E71</f>
        <v>3515.95</v>
      </c>
      <c r="F67" s="19">
        <f>F71</f>
        <v>3515.95</v>
      </c>
      <c r="G67" s="19">
        <f>G71</f>
        <v>0</v>
      </c>
      <c r="H67" s="19">
        <f>H71</f>
        <v>0</v>
      </c>
    </row>
    <row r="68" spans="1:8" ht="20.399999999999999" x14ac:dyDescent="0.3">
      <c r="A68" s="7" t="s">
        <v>112</v>
      </c>
      <c r="B68" s="8" t="s">
        <v>10</v>
      </c>
      <c r="C68" s="9" t="s">
        <v>113</v>
      </c>
      <c r="D68" s="10">
        <v>1</v>
      </c>
      <c r="E68" s="10">
        <f>1034.11*1.06</f>
        <v>1096.1600000000001</v>
      </c>
      <c r="F68" s="10">
        <f>ROUND(D68*E68,2)</f>
        <v>1096.1600000000001</v>
      </c>
      <c r="G68" s="42"/>
      <c r="H68" s="10">
        <f>ROUND(D68*G68,2)</f>
        <v>0</v>
      </c>
    </row>
    <row r="69" spans="1:8" ht="30.6" x14ac:dyDescent="0.3">
      <c r="A69" s="7" t="s">
        <v>114</v>
      </c>
      <c r="B69" s="8" t="s">
        <v>7</v>
      </c>
      <c r="C69" s="9" t="s">
        <v>115</v>
      </c>
      <c r="D69" s="10">
        <v>60</v>
      </c>
      <c r="E69" s="10">
        <f>27.54*1.06</f>
        <v>29.19</v>
      </c>
      <c r="F69" s="10">
        <f>ROUND(D69*E69,2)</f>
        <v>1751.4</v>
      </c>
      <c r="G69" s="42"/>
      <c r="H69" s="10">
        <f>ROUND(D69*G69,2)</f>
        <v>0</v>
      </c>
    </row>
    <row r="70" spans="1:8" ht="20.399999999999999" x14ac:dyDescent="0.3">
      <c r="A70" s="7" t="s">
        <v>116</v>
      </c>
      <c r="B70" s="8" t="s">
        <v>10</v>
      </c>
      <c r="C70" s="9" t="s">
        <v>117</v>
      </c>
      <c r="D70" s="10">
        <v>1</v>
      </c>
      <c r="E70" s="10">
        <f>630.56*1.06</f>
        <v>668.39</v>
      </c>
      <c r="F70" s="10">
        <f>ROUND(D70*E70,2)</f>
        <v>668.39</v>
      </c>
      <c r="G70" s="42"/>
      <c r="H70" s="10">
        <f>ROUND(D70*G70,2)</f>
        <v>0</v>
      </c>
    </row>
    <row r="71" spans="1:8" x14ac:dyDescent="0.3">
      <c r="A71" s="11"/>
      <c r="B71" s="11"/>
      <c r="C71" s="12" t="s">
        <v>118</v>
      </c>
      <c r="D71" s="10">
        <v>1</v>
      </c>
      <c r="E71" s="14">
        <f>SUM(F68:F70)</f>
        <v>3515.95</v>
      </c>
      <c r="F71" s="14">
        <f>ROUND(D71*E71,2)</f>
        <v>3515.95</v>
      </c>
      <c r="G71" s="14">
        <f>SUM(H68:H70)</f>
        <v>0</v>
      </c>
      <c r="H71" s="14">
        <f>ROUND(D71*G71,2)</f>
        <v>0</v>
      </c>
    </row>
    <row r="72" spans="1:8" ht="1.05" customHeight="1" x14ac:dyDescent="0.3">
      <c r="A72" s="15"/>
      <c r="B72" s="15"/>
      <c r="C72" s="16"/>
      <c r="D72" s="15"/>
      <c r="E72" s="15"/>
      <c r="F72" s="15"/>
      <c r="G72" s="15"/>
      <c r="H72" s="15"/>
    </row>
    <row r="73" spans="1:8" x14ac:dyDescent="0.3">
      <c r="A73" s="17" t="s">
        <v>119</v>
      </c>
      <c r="B73" s="17" t="s">
        <v>4</v>
      </c>
      <c r="C73" s="18" t="s">
        <v>120</v>
      </c>
      <c r="D73" s="19">
        <f>D75</f>
        <v>1</v>
      </c>
      <c r="E73" s="19">
        <f>E75</f>
        <v>223.16</v>
      </c>
      <c r="F73" s="19">
        <f>F75</f>
        <v>223.16</v>
      </c>
      <c r="G73" s="19">
        <f>G75</f>
        <v>0</v>
      </c>
      <c r="H73" s="19">
        <f>H75</f>
        <v>0</v>
      </c>
    </row>
    <row r="74" spans="1:8" ht="30.6" x14ac:dyDescent="0.3">
      <c r="A74" s="7" t="s">
        <v>121</v>
      </c>
      <c r="B74" s="8" t="s">
        <v>10</v>
      </c>
      <c r="C74" s="9" t="s">
        <v>122</v>
      </c>
      <c r="D74" s="10">
        <v>14</v>
      </c>
      <c r="E74" s="10">
        <f>15.04*1.06</f>
        <v>15.94</v>
      </c>
      <c r="F74" s="10">
        <f>ROUND(D74*E74,2)</f>
        <v>223.16</v>
      </c>
      <c r="G74" s="42"/>
      <c r="H74" s="10">
        <f>ROUND(D74*G74,2)</f>
        <v>0</v>
      </c>
    </row>
    <row r="75" spans="1:8" x14ac:dyDescent="0.3">
      <c r="A75" s="11"/>
      <c r="B75" s="11"/>
      <c r="C75" s="12" t="s">
        <v>123</v>
      </c>
      <c r="D75" s="10">
        <v>1</v>
      </c>
      <c r="E75" s="14">
        <f>F74</f>
        <v>223.16</v>
      </c>
      <c r="F75" s="14">
        <f>ROUND(D75*E75,2)</f>
        <v>223.16</v>
      </c>
      <c r="G75" s="14">
        <f>H74</f>
        <v>0</v>
      </c>
      <c r="H75" s="14">
        <f>ROUND(D75*G75,2)</f>
        <v>0</v>
      </c>
    </row>
    <row r="76" spans="1:8" ht="1.05" customHeight="1" x14ac:dyDescent="0.3">
      <c r="A76" s="15"/>
      <c r="B76" s="15"/>
      <c r="C76" s="16"/>
      <c r="D76" s="15"/>
      <c r="E76" s="15"/>
      <c r="F76" s="15"/>
      <c r="G76" s="15"/>
      <c r="H76" s="15"/>
    </row>
    <row r="77" spans="1:8" x14ac:dyDescent="0.3">
      <c r="A77" s="11"/>
      <c r="B77" s="11"/>
      <c r="C77" s="12" t="s">
        <v>124</v>
      </c>
      <c r="D77" s="13">
        <v>1</v>
      </c>
      <c r="E77" s="14">
        <f>F33+F51+F56+F60+F67+F73</f>
        <v>160688.87</v>
      </c>
      <c r="F77" s="14">
        <f>ROUND(D77*E77,2)</f>
        <v>160688.87</v>
      </c>
      <c r="G77" s="14">
        <f>H33+H51+H56+H60+H67+H73</f>
        <v>3000</v>
      </c>
      <c r="H77" s="14">
        <f>ROUND(D77*G77,2)</f>
        <v>3000</v>
      </c>
    </row>
    <row r="78" spans="1:8" ht="1.05" customHeight="1" x14ac:dyDescent="0.3">
      <c r="A78" s="15"/>
      <c r="B78" s="15"/>
      <c r="C78" s="16"/>
      <c r="D78" s="15"/>
      <c r="E78" s="15"/>
      <c r="F78" s="15"/>
      <c r="G78" s="15"/>
      <c r="H78" s="15"/>
    </row>
    <row r="79" spans="1:8" x14ac:dyDescent="0.3">
      <c r="A79" s="3" t="s">
        <v>125</v>
      </c>
      <c r="B79" s="3" t="s">
        <v>4</v>
      </c>
      <c r="C79" s="4" t="s">
        <v>126</v>
      </c>
      <c r="D79" s="5">
        <f>D83</f>
        <v>1</v>
      </c>
      <c r="E79" s="6">
        <f>E83</f>
        <v>2498.17</v>
      </c>
      <c r="F79" s="6">
        <f>F83</f>
        <v>2498.17</v>
      </c>
      <c r="G79" s="6">
        <f>G83</f>
        <v>0</v>
      </c>
      <c r="H79" s="6">
        <f>H83</f>
        <v>0</v>
      </c>
    </row>
    <row r="80" spans="1:8" ht="20.399999999999999" x14ac:dyDescent="0.3">
      <c r="A80" s="7" t="s">
        <v>127</v>
      </c>
      <c r="B80" s="8" t="s">
        <v>7</v>
      </c>
      <c r="C80" s="9" t="s">
        <v>128</v>
      </c>
      <c r="D80" s="10">
        <v>165</v>
      </c>
      <c r="E80" s="10">
        <f>11.81*1.06</f>
        <v>12.52</v>
      </c>
      <c r="F80" s="10">
        <f>ROUND(D80*E80,2)</f>
        <v>2065.8000000000002</v>
      </c>
      <c r="G80" s="42"/>
      <c r="H80" s="10">
        <f>ROUND(D80*G80,2)</f>
        <v>0</v>
      </c>
    </row>
    <row r="81" spans="1:8" ht="20.399999999999999" x14ac:dyDescent="0.3">
      <c r="A81" s="7" t="s">
        <v>129</v>
      </c>
      <c r="B81" s="8" t="s">
        <v>7</v>
      </c>
      <c r="C81" s="9" t="s">
        <v>130</v>
      </c>
      <c r="D81" s="10">
        <v>71</v>
      </c>
      <c r="E81" s="10">
        <f>5.11*1.06</f>
        <v>5.42</v>
      </c>
      <c r="F81" s="10">
        <f>ROUND(D81*E81,2)</f>
        <v>384.82</v>
      </c>
      <c r="G81" s="42"/>
      <c r="H81" s="10">
        <f>ROUND(D81*G81,2)</f>
        <v>0</v>
      </c>
    </row>
    <row r="82" spans="1:8" ht="20.399999999999999" x14ac:dyDescent="0.3">
      <c r="A82" s="7" t="s">
        <v>131</v>
      </c>
      <c r="B82" s="8" t="s">
        <v>10</v>
      </c>
      <c r="C82" s="9" t="s">
        <v>132</v>
      </c>
      <c r="D82" s="10">
        <v>15</v>
      </c>
      <c r="E82" s="10">
        <f>2.99*1.06</f>
        <v>3.17</v>
      </c>
      <c r="F82" s="10">
        <f>ROUND(D82*E82,2)</f>
        <v>47.55</v>
      </c>
      <c r="G82" s="42"/>
      <c r="H82" s="10">
        <f>ROUND(D82*G82,2)</f>
        <v>0</v>
      </c>
    </row>
    <row r="83" spans="1:8" x14ac:dyDescent="0.3">
      <c r="A83" s="11"/>
      <c r="B83" s="11"/>
      <c r="C83" s="12" t="s">
        <v>133</v>
      </c>
      <c r="D83" s="13">
        <v>1</v>
      </c>
      <c r="E83" s="14">
        <f>SUM(F80:F82)</f>
        <v>2498.17</v>
      </c>
      <c r="F83" s="14">
        <f>ROUND(D83*E83,2)</f>
        <v>2498.17</v>
      </c>
      <c r="G83" s="14">
        <f>SUM(H80:H82)</f>
        <v>0</v>
      </c>
      <c r="H83" s="14">
        <f>ROUND(D83*G83,2)</f>
        <v>0</v>
      </c>
    </row>
    <row r="84" spans="1:8" ht="1.05" customHeight="1" x14ac:dyDescent="0.3">
      <c r="A84" s="15"/>
      <c r="B84" s="15"/>
      <c r="C84" s="16"/>
      <c r="D84" s="15"/>
      <c r="E84" s="15"/>
      <c r="F84" s="15"/>
      <c r="G84" s="15"/>
      <c r="H84" s="15"/>
    </row>
    <row r="85" spans="1:8" x14ac:dyDescent="0.3">
      <c r="A85" s="3" t="s">
        <v>134</v>
      </c>
      <c r="B85" s="3" t="s">
        <v>4</v>
      </c>
      <c r="C85" s="4" t="s">
        <v>135</v>
      </c>
      <c r="D85" s="5">
        <f>D90</f>
        <v>1</v>
      </c>
      <c r="E85" s="6">
        <f>E90</f>
        <v>4755.3599999999997</v>
      </c>
      <c r="F85" s="6">
        <f>F90</f>
        <v>4755.3599999999997</v>
      </c>
      <c r="G85" s="6">
        <f>G90</f>
        <v>0</v>
      </c>
      <c r="H85" s="6">
        <f>H90</f>
        <v>0</v>
      </c>
    </row>
    <row r="86" spans="1:8" x14ac:dyDescent="0.3">
      <c r="A86" s="7" t="s">
        <v>136</v>
      </c>
      <c r="B86" s="8" t="s">
        <v>10</v>
      </c>
      <c r="C86" s="9" t="s">
        <v>137</v>
      </c>
      <c r="D86" s="10">
        <v>30</v>
      </c>
      <c r="E86" s="10">
        <f>83.32*1.06</f>
        <v>88.32</v>
      </c>
      <c r="F86" s="10">
        <f>ROUND(D86*E86,2)</f>
        <v>2649.6</v>
      </c>
      <c r="G86" s="42"/>
      <c r="H86" s="10">
        <f>ROUND(D86*G86,2)</f>
        <v>0</v>
      </c>
    </row>
    <row r="87" spans="1:8" ht="20.399999999999999" x14ac:dyDescent="0.3">
      <c r="A87" s="7" t="s">
        <v>138</v>
      </c>
      <c r="B87" s="8" t="s">
        <v>139</v>
      </c>
      <c r="C87" s="9" t="s">
        <v>140</v>
      </c>
      <c r="D87" s="10">
        <v>257.36</v>
      </c>
      <c r="E87" s="10">
        <f>12.6*1.06</f>
        <v>13.36</v>
      </c>
      <c r="F87" s="10">
        <f>ROUND(D87*E87,2)</f>
        <v>3438.33</v>
      </c>
      <c r="G87" s="42"/>
      <c r="H87" s="10">
        <f>ROUND(D87*G87,2)</f>
        <v>0</v>
      </c>
    </row>
    <row r="88" spans="1:8" ht="20.399999999999999" x14ac:dyDescent="0.3">
      <c r="A88" s="7" t="s">
        <v>141</v>
      </c>
      <c r="B88" s="8" t="s">
        <v>7</v>
      </c>
      <c r="C88" s="9" t="s">
        <v>142</v>
      </c>
      <c r="D88" s="10">
        <v>330</v>
      </c>
      <c r="E88" s="10">
        <f>1.55*1.06</f>
        <v>1.64</v>
      </c>
      <c r="F88" s="10">
        <f>ROUND(D88*E88,2)</f>
        <v>541.20000000000005</v>
      </c>
      <c r="G88" s="42"/>
      <c r="H88" s="10">
        <f>ROUND(D88*G88,2)</f>
        <v>0</v>
      </c>
    </row>
    <row r="89" spans="1:8" x14ac:dyDescent="0.3">
      <c r="A89" s="7" t="s">
        <v>143</v>
      </c>
      <c r="B89" s="8" t="s">
        <v>139</v>
      </c>
      <c r="C89" s="9" t="s">
        <v>144</v>
      </c>
      <c r="D89" s="10">
        <v>17.96</v>
      </c>
      <c r="E89" s="10">
        <f>-98.42*1.06</f>
        <v>-104.33</v>
      </c>
      <c r="F89" s="10">
        <f>ROUND(D89*E89,2)</f>
        <v>-1873.77</v>
      </c>
      <c r="G89" s="42"/>
      <c r="H89" s="10">
        <f>ROUND(D89*G89,2)</f>
        <v>0</v>
      </c>
    </row>
    <row r="90" spans="1:8" x14ac:dyDescent="0.3">
      <c r="A90" s="11"/>
      <c r="B90" s="11"/>
      <c r="C90" s="12" t="s">
        <v>145</v>
      </c>
      <c r="D90" s="13">
        <v>1</v>
      </c>
      <c r="E90" s="14">
        <f>SUM(F86:F89)</f>
        <v>4755.3599999999997</v>
      </c>
      <c r="F90" s="14">
        <f>ROUND(D90*E90,2)</f>
        <v>4755.3599999999997</v>
      </c>
      <c r="G90" s="14">
        <f>SUM(H86:H89)</f>
        <v>0</v>
      </c>
      <c r="H90" s="14">
        <f>ROUND(D90*G90,2)</f>
        <v>0</v>
      </c>
    </row>
    <row r="91" spans="1:8" ht="1.05" customHeight="1" x14ac:dyDescent="0.3">
      <c r="A91" s="15"/>
      <c r="B91" s="15"/>
      <c r="C91" s="16"/>
      <c r="D91" s="15"/>
      <c r="E91" s="15"/>
      <c r="F91" s="15"/>
      <c r="G91" s="15"/>
      <c r="H91" s="15"/>
    </row>
    <row r="92" spans="1:8" x14ac:dyDescent="0.3">
      <c r="A92" s="3" t="s">
        <v>146</v>
      </c>
      <c r="B92" s="3" t="s">
        <v>4</v>
      </c>
      <c r="C92" s="4" t="s">
        <v>147</v>
      </c>
      <c r="D92" s="5">
        <v>1</v>
      </c>
      <c r="E92" s="6">
        <v>0</v>
      </c>
      <c r="F92" s="6">
        <f>ROUND(D92*E92,2)</f>
        <v>0</v>
      </c>
      <c r="G92" s="40">
        <v>0</v>
      </c>
      <c r="H92" s="6">
        <f>ROUND(F92*G92,2)</f>
        <v>0</v>
      </c>
    </row>
    <row r="93" spans="1:8" ht="1.05" customHeight="1" x14ac:dyDescent="0.3">
      <c r="A93" s="15"/>
      <c r="B93" s="15"/>
      <c r="C93" s="16"/>
      <c r="D93" s="15"/>
      <c r="E93" s="15"/>
      <c r="F93" s="15"/>
      <c r="G93" s="15"/>
      <c r="H93" s="15"/>
    </row>
    <row r="94" spans="1:8" x14ac:dyDescent="0.3">
      <c r="A94" s="55"/>
      <c r="B94" s="56"/>
      <c r="C94" s="12" t="s">
        <v>148</v>
      </c>
      <c r="D94" s="20">
        <v>1</v>
      </c>
      <c r="E94" s="21">
        <f>E92+E85+E79+E32+E13+E4</f>
        <v>236179.23</v>
      </c>
      <c r="F94" s="21">
        <f>ROUND(D94*E94,2)</f>
        <v>236179.23</v>
      </c>
      <c r="G94" s="21">
        <f>G92+G85+G79+G32+G13+G4</f>
        <v>4500</v>
      </c>
      <c r="H94" s="21">
        <f>ROUND(D94*G94,2)</f>
        <v>4500</v>
      </c>
    </row>
    <row r="95" spans="1:8" x14ac:dyDescent="0.3">
      <c r="A95" s="52" t="s">
        <v>149</v>
      </c>
      <c r="B95" s="53"/>
      <c r="C95" s="22" t="s">
        <v>150</v>
      </c>
      <c r="D95" s="23">
        <v>1</v>
      </c>
      <c r="E95" s="24">
        <v>0.13</v>
      </c>
      <c r="F95" s="25">
        <f>E95*E94</f>
        <v>30703.3</v>
      </c>
      <c r="G95" s="60">
        <v>0.13</v>
      </c>
      <c r="H95" s="25">
        <f>G95*G94</f>
        <v>585</v>
      </c>
    </row>
    <row r="96" spans="1:8" x14ac:dyDescent="0.3">
      <c r="A96" s="53"/>
      <c r="B96" s="53"/>
      <c r="C96" s="22" t="s">
        <v>151</v>
      </c>
      <c r="D96" s="23">
        <v>1</v>
      </c>
      <c r="E96" s="26">
        <v>0.06</v>
      </c>
      <c r="F96" s="25">
        <f>E96*E94</f>
        <v>14170.75</v>
      </c>
      <c r="G96" s="60">
        <v>0.06</v>
      </c>
      <c r="H96" s="25">
        <f>G96*G94</f>
        <v>270</v>
      </c>
    </row>
    <row r="97" spans="1:8" ht="22.8" customHeight="1" x14ac:dyDescent="0.3">
      <c r="A97" s="38"/>
      <c r="B97" s="39"/>
      <c r="C97" s="22" t="s">
        <v>152</v>
      </c>
      <c r="D97" s="27"/>
      <c r="E97" s="28"/>
      <c r="F97" s="29">
        <f>F94+F95+F96</f>
        <v>281053.28000000003</v>
      </c>
      <c r="G97" s="27"/>
      <c r="H97" s="29">
        <f>H96+H95+H94</f>
        <v>5355</v>
      </c>
    </row>
    <row r="98" spans="1:8" ht="17.399999999999999" x14ac:dyDescent="0.3">
      <c r="A98" s="54"/>
      <c r="B98" s="53"/>
      <c r="C98" s="30" t="s">
        <v>153</v>
      </c>
      <c r="D98" s="31"/>
      <c r="E98" s="32"/>
      <c r="F98" s="33">
        <f>21%*F97</f>
        <v>59021.19</v>
      </c>
      <c r="G98" s="43"/>
      <c r="H98" s="33">
        <f>21%*H97</f>
        <v>1124.55</v>
      </c>
    </row>
    <row r="99" spans="1:8" ht="17.399999999999999" x14ac:dyDescent="0.3">
      <c r="A99" s="53"/>
      <c r="B99" s="53"/>
      <c r="C99" s="30" t="s">
        <v>154</v>
      </c>
      <c r="D99" s="31"/>
      <c r="E99" s="32"/>
      <c r="F99" s="33">
        <f>F97+F98</f>
        <v>340074.47</v>
      </c>
      <c r="G99" s="43"/>
      <c r="H99" s="33">
        <f>H98+H97</f>
        <v>6479.55</v>
      </c>
    </row>
    <row r="100" spans="1:8" ht="67.8" customHeight="1" x14ac:dyDescent="0.3">
      <c r="A100" s="44" t="s">
        <v>155</v>
      </c>
      <c r="B100" s="44"/>
      <c r="C100" s="34"/>
      <c r="D100" s="35" t="s">
        <v>156</v>
      </c>
      <c r="E100" s="45"/>
      <c r="F100" s="45"/>
      <c r="G100" s="45"/>
      <c r="H100" s="45"/>
    </row>
    <row r="101" spans="1:8" ht="58.8" customHeight="1" x14ac:dyDescent="0.3">
      <c r="A101" s="44" t="s">
        <v>157</v>
      </c>
      <c r="B101" s="44"/>
      <c r="C101" s="36"/>
      <c r="D101" s="35" t="s">
        <v>158</v>
      </c>
      <c r="E101" s="46"/>
      <c r="F101" s="46"/>
      <c r="G101" s="46"/>
      <c r="H101" s="46"/>
    </row>
    <row r="102" spans="1:8" ht="52.8" customHeight="1" x14ac:dyDescent="0.3">
      <c r="A102" s="44" t="s">
        <v>159</v>
      </c>
      <c r="B102" s="44"/>
      <c r="C102" s="37"/>
      <c r="D102" s="35" t="s">
        <v>160</v>
      </c>
      <c r="E102" s="46"/>
      <c r="F102" s="46"/>
      <c r="G102" s="46"/>
      <c r="H102" s="46"/>
    </row>
    <row r="103" spans="1:8" ht="32.4" customHeight="1" x14ac:dyDescent="0.3">
      <c r="A103" s="57" t="s">
        <v>161</v>
      </c>
      <c r="B103" s="57"/>
      <c r="C103" s="58" t="s">
        <v>162</v>
      </c>
      <c r="D103" s="58"/>
      <c r="E103" s="58"/>
      <c r="F103" s="58"/>
      <c r="G103" s="58"/>
      <c r="H103" s="58"/>
    </row>
    <row r="104" spans="1:8" ht="37.200000000000003" customHeight="1" x14ac:dyDescent="0.3">
      <c r="A104" s="57"/>
      <c r="B104" s="57"/>
      <c r="C104" s="58" t="s">
        <v>163</v>
      </c>
      <c r="D104" s="58"/>
      <c r="E104" s="58"/>
      <c r="F104" s="58"/>
      <c r="G104" s="58"/>
      <c r="H104" s="58"/>
    </row>
    <row r="105" spans="1:8" s="41" customFormat="1" ht="37.200000000000003" customHeight="1" x14ac:dyDescent="0.3">
      <c r="A105" s="57"/>
      <c r="B105" s="57"/>
      <c r="C105" s="58" t="s">
        <v>171</v>
      </c>
      <c r="D105" s="58"/>
      <c r="E105" s="58"/>
      <c r="F105" s="58"/>
      <c r="G105" s="58"/>
      <c r="H105" s="58"/>
    </row>
    <row r="106" spans="1:8" ht="34.799999999999997" customHeight="1" x14ac:dyDescent="0.3">
      <c r="A106" s="57"/>
      <c r="B106" s="57"/>
      <c r="C106" s="58" t="s">
        <v>170</v>
      </c>
      <c r="D106" s="58"/>
      <c r="E106" s="58"/>
      <c r="F106" s="58"/>
      <c r="G106" s="58"/>
      <c r="H106" s="58"/>
    </row>
    <row r="107" spans="1:8" ht="46.8" customHeight="1" x14ac:dyDescent="0.3">
      <c r="A107" s="57"/>
      <c r="B107" s="57"/>
      <c r="C107" s="59" t="s">
        <v>172</v>
      </c>
      <c r="D107" s="58"/>
      <c r="E107" s="58"/>
      <c r="F107" s="58"/>
      <c r="G107" s="58"/>
      <c r="H107" s="58"/>
    </row>
  </sheetData>
  <sheetProtection password="CDC8" sheet="1" selectLockedCells="1"/>
  <mergeCells count="19">
    <mergeCell ref="A102:B102"/>
    <mergeCell ref="E102:H102"/>
    <mergeCell ref="A103:B107"/>
    <mergeCell ref="C103:H103"/>
    <mergeCell ref="C104:H104"/>
    <mergeCell ref="C106:H106"/>
    <mergeCell ref="C107:H107"/>
    <mergeCell ref="C105:H105"/>
    <mergeCell ref="A100:B100"/>
    <mergeCell ref="E100:H100"/>
    <mergeCell ref="A101:B101"/>
    <mergeCell ref="E101:H101"/>
    <mergeCell ref="A1:H1"/>
    <mergeCell ref="E2:F2"/>
    <mergeCell ref="G2:H2"/>
    <mergeCell ref="A2:D2"/>
    <mergeCell ref="A95:B96"/>
    <mergeCell ref="A98:B99"/>
    <mergeCell ref="A94:B94"/>
  </mergeCells>
  <conditionalFormatting sqref="G63">
    <cfRule type="cellIs" dxfId="47" priority="14" operator="greaterThan">
      <formula>$E$63</formula>
    </cfRule>
    <cfRule type="cellIs" dxfId="46" priority="58" operator="greaterThan">
      <formula>$E$63</formula>
    </cfRule>
  </conditionalFormatting>
  <conditionalFormatting sqref="G74">
    <cfRule type="cellIs" dxfId="45" priority="10" operator="greaterThan">
      <formula>$E$74</formula>
    </cfRule>
    <cfRule type="cellIs" dxfId="44" priority="54" operator="greaterThan">
      <formula>$E$74</formula>
    </cfRule>
  </conditionalFormatting>
  <conditionalFormatting sqref="G5">
    <cfRule type="cellIs" dxfId="43" priority="46" operator="greaterThan">
      <formula>$E$5</formula>
    </cfRule>
  </conditionalFormatting>
  <conditionalFormatting sqref="G6">
    <cfRule type="cellIs" dxfId="42" priority="45" operator="greaterThan">
      <formula>$E$6</formula>
    </cfRule>
  </conditionalFormatting>
  <conditionalFormatting sqref="G7">
    <cfRule type="cellIs" dxfId="41" priority="44" operator="greaterThan">
      <formula>$E$7</formula>
    </cfRule>
  </conditionalFormatting>
  <conditionalFormatting sqref="G8">
    <cfRule type="cellIs" dxfId="40" priority="43" operator="greaterThan">
      <formula>$E$8</formula>
    </cfRule>
  </conditionalFormatting>
  <conditionalFormatting sqref="G9">
    <cfRule type="cellIs" dxfId="39" priority="42" operator="greaterThan">
      <formula>$E$9</formula>
    </cfRule>
  </conditionalFormatting>
  <conditionalFormatting sqref="G15">
    <cfRule type="cellIs" dxfId="38" priority="41" operator="greaterThan">
      <formula>$E$15</formula>
    </cfRule>
  </conditionalFormatting>
  <conditionalFormatting sqref="G16">
    <cfRule type="cellIs" dxfId="37" priority="40" operator="greaterThan">
      <formula>$E$16</formula>
    </cfRule>
  </conditionalFormatting>
  <conditionalFormatting sqref="G17">
    <cfRule type="cellIs" dxfId="36" priority="39" operator="greaterThan">
      <formula>$E$17</formula>
    </cfRule>
  </conditionalFormatting>
  <conditionalFormatting sqref="G21">
    <cfRule type="cellIs" dxfId="35" priority="38" operator="greaterThan">
      <formula>$E$21</formula>
    </cfRule>
  </conditionalFormatting>
  <conditionalFormatting sqref="G22">
    <cfRule type="cellIs" dxfId="34" priority="37" operator="greaterThan">
      <formula>$E$22</formula>
    </cfRule>
  </conditionalFormatting>
  <conditionalFormatting sqref="G23">
    <cfRule type="cellIs" dxfId="33" priority="36" operator="greaterThan">
      <formula>$E$23</formula>
    </cfRule>
  </conditionalFormatting>
  <conditionalFormatting sqref="G24">
    <cfRule type="cellIs" dxfId="32" priority="35" operator="greaterThan">
      <formula>$E$24</formula>
    </cfRule>
  </conditionalFormatting>
  <conditionalFormatting sqref="G25">
    <cfRule type="cellIs" dxfId="31" priority="34" operator="greaterThan">
      <formula>$E$25</formula>
    </cfRule>
  </conditionalFormatting>
  <conditionalFormatting sqref="G26">
    <cfRule type="cellIs" dxfId="30" priority="33" operator="greaterThan">
      <formula>$E$26</formula>
    </cfRule>
  </conditionalFormatting>
  <conditionalFormatting sqref="G27">
    <cfRule type="cellIs" dxfId="29" priority="32" operator="greaterThan">
      <formula>$E$27</formula>
    </cfRule>
  </conditionalFormatting>
  <conditionalFormatting sqref="G34">
    <cfRule type="cellIs" dxfId="28" priority="31" operator="greaterThan">
      <formula>$E$34</formula>
    </cfRule>
  </conditionalFormatting>
  <conditionalFormatting sqref="G35">
    <cfRule type="cellIs" dxfId="27" priority="30" operator="greaterThan">
      <formula>$E$35</formula>
    </cfRule>
  </conditionalFormatting>
  <conditionalFormatting sqref="G36">
    <cfRule type="cellIs" dxfId="26" priority="29" operator="greaterThan">
      <formula>$E$36</formula>
    </cfRule>
  </conditionalFormatting>
  <conditionalFormatting sqref="G37">
    <cfRule type="cellIs" dxfId="25" priority="28" operator="greaterThan">
      <formula>$E$37</formula>
    </cfRule>
  </conditionalFormatting>
  <conditionalFormatting sqref="G38">
    <cfRule type="cellIs" dxfId="24" priority="27" operator="greaterThan">
      <formula>$E$38</formula>
    </cfRule>
  </conditionalFormatting>
  <conditionalFormatting sqref="G39">
    <cfRule type="cellIs" dxfId="23" priority="26" operator="greaterThan">
      <formula>$E$39</formula>
    </cfRule>
  </conditionalFormatting>
  <conditionalFormatting sqref="G40">
    <cfRule type="cellIs" dxfId="22" priority="25" operator="greaterThan">
      <formula>$E$40</formula>
    </cfRule>
  </conditionalFormatting>
  <conditionalFormatting sqref="G41">
    <cfRule type="cellIs" dxfId="21" priority="24" operator="greaterThan">
      <formula>$E$41</formula>
    </cfRule>
  </conditionalFormatting>
  <conditionalFormatting sqref="G42">
    <cfRule type="cellIs" dxfId="20" priority="23" operator="greaterThan">
      <formula>$E$42</formula>
    </cfRule>
  </conditionalFormatting>
  <conditionalFormatting sqref="G43">
    <cfRule type="cellIs" dxfId="19" priority="22" operator="greaterThan">
      <formula>$E$43</formula>
    </cfRule>
  </conditionalFormatting>
  <conditionalFormatting sqref="G44">
    <cfRule type="cellIs" dxfId="18" priority="21" operator="greaterThan">
      <formula>$E$44</formula>
    </cfRule>
  </conditionalFormatting>
  <conditionalFormatting sqref="G45">
    <cfRule type="cellIs" dxfId="17" priority="20" operator="greaterThan">
      <formula>$E$45</formula>
    </cfRule>
  </conditionalFormatting>
  <conditionalFormatting sqref="G46">
    <cfRule type="cellIs" dxfId="16" priority="19" operator="greaterThan">
      <formula>$E$46</formula>
    </cfRule>
  </conditionalFormatting>
  <conditionalFormatting sqref="G47">
    <cfRule type="cellIs" dxfId="15" priority="18" operator="greaterThan">
      <formula>$E$47</formula>
    </cfRule>
  </conditionalFormatting>
  <conditionalFormatting sqref="G57">
    <cfRule type="cellIs" dxfId="14" priority="17" operator="greaterThan">
      <formula>$E$57</formula>
    </cfRule>
  </conditionalFormatting>
  <conditionalFormatting sqref="G61">
    <cfRule type="cellIs" dxfId="13" priority="16" operator="greaterThan">
      <formula>$E$61</formula>
    </cfRule>
  </conditionalFormatting>
  <conditionalFormatting sqref="G62">
    <cfRule type="cellIs" dxfId="12" priority="15" operator="greaterThan">
      <formula>$E$62</formula>
    </cfRule>
  </conditionalFormatting>
  <conditionalFormatting sqref="G68">
    <cfRule type="cellIs" dxfId="11" priority="13" operator="greaterThan">
      <formula>$E$68</formula>
    </cfRule>
  </conditionalFormatting>
  <conditionalFormatting sqref="G69">
    <cfRule type="cellIs" dxfId="10" priority="12" operator="greaterThan">
      <formula>$E$69</formula>
    </cfRule>
  </conditionalFormatting>
  <conditionalFormatting sqref="G70">
    <cfRule type="cellIs" dxfId="9" priority="11" operator="greaterThan">
      <formula>$E$70</formula>
    </cfRule>
  </conditionalFormatting>
  <conditionalFormatting sqref="G80">
    <cfRule type="cellIs" dxfId="8" priority="9" operator="greaterThan">
      <formula>$E$80</formula>
    </cfRule>
  </conditionalFormatting>
  <conditionalFormatting sqref="G81">
    <cfRule type="cellIs" dxfId="7" priority="8" operator="greaterThan">
      <formula>$E$81</formula>
    </cfRule>
  </conditionalFormatting>
  <conditionalFormatting sqref="G82">
    <cfRule type="cellIs" dxfId="6" priority="7" operator="greaterThan">
      <formula>$E$82</formula>
    </cfRule>
  </conditionalFormatting>
  <conditionalFormatting sqref="G86">
    <cfRule type="cellIs" dxfId="5" priority="6" operator="greaterThan">
      <formula>$E$86</formula>
    </cfRule>
  </conditionalFormatting>
  <conditionalFormatting sqref="G87">
    <cfRule type="cellIs" dxfId="4" priority="5" operator="greaterThan">
      <formula>$E$87</formula>
    </cfRule>
  </conditionalFormatting>
  <conditionalFormatting sqref="G88">
    <cfRule type="cellIs" dxfId="3" priority="4" operator="greaterThan">
      <formula>$E$88</formula>
    </cfRule>
  </conditionalFormatting>
  <conditionalFormatting sqref="G89">
    <cfRule type="cellIs" dxfId="2" priority="3" operator="greaterThan">
      <formula>$E$89</formula>
    </cfRule>
  </conditionalFormatting>
  <conditionalFormatting sqref="G95">
    <cfRule type="cellIs" dxfId="1" priority="2" operator="greaterThan">
      <formula>$E$95</formula>
    </cfRule>
  </conditionalFormatting>
  <conditionalFormatting sqref="G96">
    <cfRule type="cellIs" dxfId="0" priority="1" operator="greaterThan">
      <formula>$E$96</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Pérez Monje, David</dc:creator>
  <cp:lastModifiedBy>Pérez Monje, David</cp:lastModifiedBy>
  <dcterms:created xsi:type="dcterms:W3CDTF">2019-06-12T09:07:49Z</dcterms:created>
  <dcterms:modified xsi:type="dcterms:W3CDTF">2019-08-08T05:57:33Z</dcterms:modified>
</cp:coreProperties>
</file>