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ecnicos\INGENIERÍA\L08\VI.20.007 COLOMBIA-P.REY\2.OBRA\1.LICITACIÓN\PCP Y SC\"/>
    </mc:Choice>
  </mc:AlternateContent>
  <xr:revisionPtr revIDLastSave="0" documentId="13_ncr:1_{73A580EE-007A-446D-BE6E-EFB646390234}" xr6:coauthVersionLast="36" xr6:coauthVersionMax="36" xr10:uidLastSave="{00000000-0000-0000-0000-000000000000}"/>
  <bookViews>
    <workbookView xWindow="0" yWindow="0" windowWidth="17256" windowHeight="7848" xr2:uid="{BE83EB2A-367E-4BCD-BA84-1D4AED33B60D}"/>
  </bookViews>
  <sheets>
    <sheet name="Hoja1" sheetId="1" r:id="rId1"/>
  </sheets>
  <definedNames>
    <definedName name="_xlnm._FilterDatabase" localSheetId="0" hidden="1">Hoja1!$A$3:$I$478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7" i="1" l="1"/>
  <c r="E88" i="1"/>
  <c r="H460" i="1" l="1"/>
  <c r="H238" i="1"/>
  <c r="I84" i="1" l="1"/>
  <c r="I83" i="1"/>
  <c r="I88" i="1"/>
  <c r="I87" i="1"/>
  <c r="I86" i="1"/>
  <c r="I85" i="1"/>
  <c r="I76" i="1"/>
  <c r="I75" i="1"/>
  <c r="F88" i="1"/>
  <c r="F87" i="1"/>
  <c r="E86" i="1"/>
  <c r="F86" i="1" s="1"/>
  <c r="E85" i="1"/>
  <c r="F85" i="1" s="1"/>
  <c r="E84" i="1"/>
  <c r="F84" i="1" s="1"/>
  <c r="E83" i="1"/>
  <c r="I463" i="1" l="1"/>
  <c r="I460" i="1"/>
  <c r="I459" i="1"/>
  <c r="I458" i="1"/>
  <c r="I457" i="1"/>
  <c r="G456" i="1"/>
  <c r="G445" i="1" s="1"/>
  <c r="G436" i="1" s="1"/>
  <c r="G259" i="1" s="1"/>
  <c r="H451" i="1"/>
  <c r="I451" i="1" s="1"/>
  <c r="I450" i="1"/>
  <c r="I449" i="1"/>
  <c r="I448" i="1"/>
  <c r="I447" i="1"/>
  <c r="I446" i="1"/>
  <c r="I442" i="1"/>
  <c r="I441" i="1"/>
  <c r="I440" i="1"/>
  <c r="I439" i="1"/>
  <c r="I438" i="1"/>
  <c r="I437" i="1"/>
  <c r="G435" i="1"/>
  <c r="I428" i="1"/>
  <c r="H429" i="1" s="1"/>
  <c r="I422" i="1"/>
  <c r="I421" i="1"/>
  <c r="G420" i="1"/>
  <c r="G419" i="1"/>
  <c r="G409" i="1" s="1"/>
  <c r="I414" i="1"/>
  <c r="I413" i="1"/>
  <c r="I412" i="1"/>
  <c r="I411" i="1"/>
  <c r="I410" i="1"/>
  <c r="I406" i="1"/>
  <c r="I405" i="1"/>
  <c r="I404" i="1"/>
  <c r="I403" i="1"/>
  <c r="I402" i="1"/>
  <c r="G401" i="1"/>
  <c r="I398" i="1"/>
  <c r="I397" i="1"/>
  <c r="I396" i="1"/>
  <c r="I395" i="1"/>
  <c r="I394" i="1"/>
  <c r="I390" i="1"/>
  <c r="I389" i="1"/>
  <c r="I388" i="1"/>
  <c r="I387" i="1"/>
  <c r="I386" i="1"/>
  <c r="G385" i="1"/>
  <c r="G393" i="1" s="1"/>
  <c r="G344" i="1" s="1"/>
  <c r="I382" i="1"/>
  <c r="I381" i="1"/>
  <c r="I380" i="1"/>
  <c r="I379" i="1"/>
  <c r="I378" i="1"/>
  <c r="G376" i="1"/>
  <c r="I371" i="1"/>
  <c r="I370" i="1"/>
  <c r="I369" i="1"/>
  <c r="I368" i="1"/>
  <c r="I364" i="1"/>
  <c r="H365" i="1" s="1"/>
  <c r="I360" i="1"/>
  <c r="H361" i="1" s="1"/>
  <c r="I356" i="1"/>
  <c r="H357" i="1" s="1"/>
  <c r="I357" i="1" s="1"/>
  <c r="I352" i="1"/>
  <c r="I351" i="1"/>
  <c r="I350" i="1"/>
  <c r="I346" i="1"/>
  <c r="I345" i="1"/>
  <c r="G343" i="1"/>
  <c r="G363" i="1" s="1"/>
  <c r="G342" i="1"/>
  <c r="I337" i="1"/>
  <c r="I336" i="1"/>
  <c r="I335" i="1"/>
  <c r="I334" i="1"/>
  <c r="I333" i="1"/>
  <c r="I332" i="1"/>
  <c r="I331" i="1"/>
  <c r="I330" i="1"/>
  <c r="I329" i="1"/>
  <c r="I328" i="1"/>
  <c r="G327" i="1"/>
  <c r="G377" i="1" s="1"/>
  <c r="I324" i="1"/>
  <c r="I323" i="1"/>
  <c r="I322" i="1"/>
  <c r="I321" i="1"/>
  <c r="I320" i="1"/>
  <c r="I316" i="1"/>
  <c r="I315" i="1"/>
  <c r="I314" i="1"/>
  <c r="I313" i="1"/>
  <c r="I312" i="1"/>
  <c r="I311" i="1"/>
  <c r="I310" i="1"/>
  <c r="I309" i="1"/>
  <c r="I308" i="1"/>
  <c r="I307" i="1"/>
  <c r="I306" i="1"/>
  <c r="G305" i="1"/>
  <c r="I302" i="1"/>
  <c r="I301" i="1"/>
  <c r="I300" i="1"/>
  <c r="I299" i="1"/>
  <c r="I298" i="1"/>
  <c r="G296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3" i="1"/>
  <c r="I262" i="1"/>
  <c r="I261" i="1"/>
  <c r="I260" i="1"/>
  <c r="I255" i="1"/>
  <c r="I254" i="1"/>
  <c r="I253" i="1"/>
  <c r="I252" i="1"/>
  <c r="I251" i="1"/>
  <c r="I250" i="1"/>
  <c r="I249" i="1"/>
  <c r="I248" i="1"/>
  <c r="I247" i="1"/>
  <c r="I246" i="1"/>
  <c r="I245" i="1"/>
  <c r="I238" i="1"/>
  <c r="I231" i="1"/>
  <c r="I230" i="1"/>
  <c r="I229" i="1"/>
  <c r="I228" i="1"/>
  <c r="I227" i="1"/>
  <c r="I226" i="1"/>
  <c r="I225" i="1"/>
  <c r="I224" i="1"/>
  <c r="G223" i="1"/>
  <c r="I220" i="1"/>
  <c r="I219" i="1"/>
  <c r="I218" i="1"/>
  <c r="I217" i="1"/>
  <c r="G216" i="1"/>
  <c r="I213" i="1"/>
  <c r="I212" i="1"/>
  <c r="I211" i="1"/>
  <c r="I210" i="1"/>
  <c r="I209" i="1"/>
  <c r="I208" i="1"/>
  <c r="I207" i="1"/>
  <c r="I206" i="1"/>
  <c r="G205" i="1"/>
  <c r="G243" i="1" s="1"/>
  <c r="I204" i="1"/>
  <c r="I203" i="1"/>
  <c r="G202" i="1"/>
  <c r="I197" i="1"/>
  <c r="I196" i="1"/>
  <c r="I195" i="1"/>
  <c r="I194" i="1"/>
  <c r="I193" i="1"/>
  <c r="I192" i="1"/>
  <c r="I191" i="1"/>
  <c r="I190" i="1"/>
  <c r="G189" i="1"/>
  <c r="G182" i="1" s="1"/>
  <c r="G171" i="1" s="1"/>
  <c r="I186" i="1"/>
  <c r="I185" i="1"/>
  <c r="I184" i="1"/>
  <c r="I183" i="1"/>
  <c r="I179" i="1"/>
  <c r="I178" i="1"/>
  <c r="I177" i="1"/>
  <c r="I176" i="1"/>
  <c r="I175" i="1"/>
  <c r="I174" i="1"/>
  <c r="I173" i="1"/>
  <c r="I172" i="1"/>
  <c r="I170" i="1"/>
  <c r="I169" i="1"/>
  <c r="G168" i="1"/>
  <c r="G167" i="1"/>
  <c r="G152" i="1" s="1"/>
  <c r="G145" i="1" s="1"/>
  <c r="G132" i="1" s="1"/>
  <c r="G123" i="1" s="1"/>
  <c r="I162" i="1"/>
  <c r="I161" i="1"/>
  <c r="I160" i="1"/>
  <c r="I159" i="1"/>
  <c r="I158" i="1"/>
  <c r="I157" i="1"/>
  <c r="I156" i="1"/>
  <c r="I155" i="1"/>
  <c r="I154" i="1"/>
  <c r="I153" i="1"/>
  <c r="I149" i="1"/>
  <c r="I148" i="1"/>
  <c r="I147" i="1"/>
  <c r="I146" i="1"/>
  <c r="I142" i="1"/>
  <c r="I141" i="1"/>
  <c r="I140" i="1"/>
  <c r="I139" i="1"/>
  <c r="I138" i="1"/>
  <c r="I137" i="1"/>
  <c r="I136" i="1"/>
  <c r="I135" i="1"/>
  <c r="I134" i="1"/>
  <c r="I133" i="1"/>
  <c r="I129" i="1"/>
  <c r="I128" i="1"/>
  <c r="I127" i="1"/>
  <c r="I126" i="1"/>
  <c r="I125" i="1"/>
  <c r="I124" i="1"/>
  <c r="I120" i="1"/>
  <c r="I119" i="1"/>
  <c r="I118" i="1"/>
  <c r="I117" i="1"/>
  <c r="I116" i="1"/>
  <c r="I115" i="1"/>
  <c r="G113" i="1"/>
  <c r="H109" i="1"/>
  <c r="I109" i="1" s="1"/>
  <c r="I108" i="1"/>
  <c r="I107" i="1"/>
  <c r="I106" i="1"/>
  <c r="I105" i="1"/>
  <c r="I104" i="1"/>
  <c r="I103" i="1"/>
  <c r="I102" i="1"/>
  <c r="I101" i="1"/>
  <c r="I100" i="1"/>
  <c r="I99" i="1"/>
  <c r="G98" i="1"/>
  <c r="I95" i="1"/>
  <c r="I94" i="1"/>
  <c r="I93" i="1"/>
  <c r="G92" i="1"/>
  <c r="G91" i="1"/>
  <c r="G82" i="1"/>
  <c r="I77" i="1"/>
  <c r="I74" i="1"/>
  <c r="G73" i="1"/>
  <c r="H70" i="1"/>
  <c r="I70" i="1" s="1"/>
  <c r="I69" i="1"/>
  <c r="I68" i="1"/>
  <c r="I67" i="1"/>
  <c r="I66" i="1"/>
  <c r="I65" i="1"/>
  <c r="I64" i="1"/>
  <c r="I63" i="1"/>
  <c r="G62" i="1"/>
  <c r="G49" i="1" s="1"/>
  <c r="G34" i="1" s="1"/>
  <c r="I57" i="1"/>
  <c r="H58" i="1" s="1"/>
  <c r="H56" i="1" s="1"/>
  <c r="G56" i="1"/>
  <c r="I53" i="1"/>
  <c r="I52" i="1"/>
  <c r="I51" i="1"/>
  <c r="I50" i="1"/>
  <c r="I46" i="1"/>
  <c r="I45" i="1"/>
  <c r="I44" i="1"/>
  <c r="I43" i="1"/>
  <c r="I42" i="1"/>
  <c r="I41" i="1"/>
  <c r="I40" i="1"/>
  <c r="I39" i="1"/>
  <c r="I38" i="1"/>
  <c r="I37" i="1"/>
  <c r="I36" i="1"/>
  <c r="I35" i="1"/>
  <c r="G33" i="1"/>
  <c r="G10" i="1" s="1"/>
  <c r="G4" i="1" s="1"/>
  <c r="G32" i="1"/>
  <c r="I29" i="1"/>
  <c r="I26" i="1"/>
  <c r="I25" i="1"/>
  <c r="H27" i="1" s="1"/>
  <c r="H24" i="1" s="1"/>
  <c r="G24" i="1"/>
  <c r="I21" i="1"/>
  <c r="I20" i="1"/>
  <c r="I19" i="1"/>
  <c r="I18" i="1"/>
  <c r="G17" i="1"/>
  <c r="G11" i="1" s="1"/>
  <c r="I14" i="1"/>
  <c r="I13" i="1"/>
  <c r="I12" i="1"/>
  <c r="I7" i="1"/>
  <c r="I6" i="1"/>
  <c r="I5" i="1"/>
  <c r="E252" i="1"/>
  <c r="F252" i="1" s="1"/>
  <c r="E251" i="1"/>
  <c r="F251" i="1" s="1"/>
  <c r="E250" i="1"/>
  <c r="E249" i="1"/>
  <c r="F249" i="1" s="1"/>
  <c r="E248" i="1"/>
  <c r="F248" i="1" s="1"/>
  <c r="E247" i="1"/>
  <c r="E246" i="1"/>
  <c r="E245" i="1"/>
  <c r="F245" i="1" s="1"/>
  <c r="E128" i="1"/>
  <c r="F128" i="1" s="1"/>
  <c r="E129" i="1"/>
  <c r="E127" i="1"/>
  <c r="E126" i="1"/>
  <c r="F126" i="1" s="1"/>
  <c r="E125" i="1"/>
  <c r="F125" i="1" s="1"/>
  <c r="E124" i="1"/>
  <c r="F124" i="1" s="1"/>
  <c r="E120" i="1"/>
  <c r="E119" i="1"/>
  <c r="F119" i="1" s="1"/>
  <c r="E118" i="1"/>
  <c r="F118" i="1" s="1"/>
  <c r="E117" i="1"/>
  <c r="F117" i="1" s="1"/>
  <c r="E116" i="1"/>
  <c r="E115" i="1"/>
  <c r="F115" i="1" s="1"/>
  <c r="E109" i="1"/>
  <c r="F109" i="1" s="1"/>
  <c r="E108" i="1"/>
  <c r="E107" i="1"/>
  <c r="F107" i="1" s="1"/>
  <c r="E106" i="1"/>
  <c r="F106" i="1" s="1"/>
  <c r="E105" i="1"/>
  <c r="F105" i="1" s="1"/>
  <c r="E104" i="1"/>
  <c r="E103" i="1"/>
  <c r="E102" i="1"/>
  <c r="F102" i="1" s="1"/>
  <c r="E101" i="1"/>
  <c r="F101" i="1" s="1"/>
  <c r="E100" i="1"/>
  <c r="F100" i="1" s="1"/>
  <c r="E99" i="1"/>
  <c r="E93" i="1"/>
  <c r="F93" i="1" s="1"/>
  <c r="E94" i="1"/>
  <c r="F94" i="1" s="1"/>
  <c r="E95" i="1"/>
  <c r="F95" i="1" s="1"/>
  <c r="E70" i="1"/>
  <c r="E69" i="1"/>
  <c r="F69" i="1" s="1"/>
  <c r="E68" i="1"/>
  <c r="E67" i="1"/>
  <c r="E66" i="1"/>
  <c r="E65" i="1"/>
  <c r="F65" i="1" s="1"/>
  <c r="E64" i="1"/>
  <c r="F64" i="1" s="1"/>
  <c r="E63" i="1"/>
  <c r="F63" i="1" s="1"/>
  <c r="E52" i="1"/>
  <c r="E51" i="1"/>
  <c r="F51" i="1" s="1"/>
  <c r="E50" i="1"/>
  <c r="F50" i="1" s="1"/>
  <c r="E46" i="1"/>
  <c r="F46" i="1" s="1"/>
  <c r="E45" i="1"/>
  <c r="E44" i="1"/>
  <c r="F44" i="1" s="1"/>
  <c r="E43" i="1"/>
  <c r="F43" i="1" s="1"/>
  <c r="E42" i="1"/>
  <c r="F42" i="1" s="1"/>
  <c r="E40" i="1"/>
  <c r="E39" i="1"/>
  <c r="F39" i="1" s="1"/>
  <c r="E38" i="1"/>
  <c r="F38" i="1" s="1"/>
  <c r="E37" i="1"/>
  <c r="F37" i="1" s="1"/>
  <c r="E36" i="1"/>
  <c r="E35" i="1"/>
  <c r="F35" i="1" s="1"/>
  <c r="E5" i="1"/>
  <c r="F5" i="1" s="1"/>
  <c r="E6" i="1"/>
  <c r="E7" i="1"/>
  <c r="F7" i="1" s="1"/>
  <c r="E26" i="1"/>
  <c r="F26" i="1" s="1"/>
  <c r="E25" i="1"/>
  <c r="F25" i="1" s="1"/>
  <c r="E21" i="1"/>
  <c r="E20" i="1"/>
  <c r="F20" i="1" s="1"/>
  <c r="E19" i="1"/>
  <c r="F19" i="1" s="1"/>
  <c r="E18" i="1"/>
  <c r="E14" i="1"/>
  <c r="E13" i="1"/>
  <c r="F13" i="1" s="1"/>
  <c r="E12" i="1"/>
  <c r="F12" i="1" s="1"/>
  <c r="E289" i="1"/>
  <c r="E290" i="1"/>
  <c r="E291" i="1"/>
  <c r="E298" i="1"/>
  <c r="F298" i="1" s="1"/>
  <c r="E268" i="1"/>
  <c r="F268" i="1" s="1"/>
  <c r="E269" i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E278" i="1"/>
  <c r="F278" i="1" s="1"/>
  <c r="E279" i="1"/>
  <c r="F279" i="1" s="1"/>
  <c r="E280" i="1"/>
  <c r="F280" i="1" s="1"/>
  <c r="E281" i="1"/>
  <c r="E282" i="1"/>
  <c r="F282" i="1" s="1"/>
  <c r="E283" i="1"/>
  <c r="F283" i="1" s="1"/>
  <c r="E284" i="1"/>
  <c r="F284" i="1" s="1"/>
  <c r="E285" i="1"/>
  <c r="F285" i="1" s="1"/>
  <c r="E286" i="1"/>
  <c r="E287" i="1"/>
  <c r="F287" i="1" s="1"/>
  <c r="E288" i="1"/>
  <c r="F288" i="1" s="1"/>
  <c r="E299" i="1"/>
  <c r="F299" i="1" s="1"/>
  <c r="E300" i="1"/>
  <c r="E301" i="1"/>
  <c r="F301" i="1" s="1"/>
  <c r="E302" i="1"/>
  <c r="E306" i="1"/>
  <c r="F306" i="1" s="1"/>
  <c r="E307" i="1"/>
  <c r="F307" i="1" s="1"/>
  <c r="E308" i="1"/>
  <c r="F308" i="1" s="1"/>
  <c r="E309" i="1"/>
  <c r="F309" i="1" s="1"/>
  <c r="E310" i="1"/>
  <c r="E311" i="1"/>
  <c r="E312" i="1"/>
  <c r="F312" i="1" s="1"/>
  <c r="E313" i="1"/>
  <c r="F313" i="1" s="1"/>
  <c r="E314" i="1"/>
  <c r="E315" i="1"/>
  <c r="F315" i="1" s="1"/>
  <c r="E316" i="1"/>
  <c r="F316" i="1" s="1"/>
  <c r="E320" i="1"/>
  <c r="F320" i="1" s="1"/>
  <c r="E321" i="1"/>
  <c r="F321" i="1" s="1"/>
  <c r="E322" i="1"/>
  <c r="F322" i="1" s="1"/>
  <c r="E323" i="1"/>
  <c r="F323" i="1" s="1"/>
  <c r="E324" i="1"/>
  <c r="F324" i="1" s="1"/>
  <c r="E328" i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E337" i="1"/>
  <c r="E345" i="1"/>
  <c r="F345" i="1" s="1"/>
  <c r="E346" i="1"/>
  <c r="E350" i="1"/>
  <c r="E351" i="1"/>
  <c r="F351" i="1" s="1"/>
  <c r="E352" i="1"/>
  <c r="F352" i="1" s="1"/>
  <c r="E360" i="1"/>
  <c r="F360" i="1" s="1"/>
  <c r="E361" i="1" s="1"/>
  <c r="E364" i="1"/>
  <c r="E368" i="1"/>
  <c r="E369" i="1"/>
  <c r="F369" i="1" s="1"/>
  <c r="E370" i="1"/>
  <c r="F370" i="1" s="1"/>
  <c r="E371" i="1"/>
  <c r="F371" i="1" s="1"/>
  <c r="E378" i="1"/>
  <c r="F378" i="1" s="1"/>
  <c r="E379" i="1"/>
  <c r="F379" i="1" s="1"/>
  <c r="E380" i="1"/>
  <c r="E381" i="1"/>
  <c r="F381" i="1" s="1"/>
  <c r="E382" i="1"/>
  <c r="F382" i="1" s="1"/>
  <c r="E386" i="1"/>
  <c r="F386" i="1" s="1"/>
  <c r="E387" i="1"/>
  <c r="E388" i="1"/>
  <c r="F388" i="1" s="1"/>
  <c r="E389" i="1"/>
  <c r="E390" i="1"/>
  <c r="F390" i="1" s="1"/>
  <c r="E394" i="1"/>
  <c r="F394" i="1" s="1"/>
  <c r="E395" i="1"/>
  <c r="E396" i="1"/>
  <c r="F396" i="1" s="1"/>
  <c r="E397" i="1"/>
  <c r="F397" i="1" s="1"/>
  <c r="E398" i="1"/>
  <c r="F398" i="1" s="1"/>
  <c r="E402" i="1"/>
  <c r="E403" i="1"/>
  <c r="F403" i="1" s="1"/>
  <c r="E404" i="1"/>
  <c r="F404" i="1" s="1"/>
  <c r="E405" i="1"/>
  <c r="E406" i="1"/>
  <c r="F406" i="1" s="1"/>
  <c r="E410" i="1"/>
  <c r="E411" i="1"/>
  <c r="F411" i="1" s="1"/>
  <c r="E412" i="1"/>
  <c r="F412" i="1" s="1"/>
  <c r="E413" i="1"/>
  <c r="E414" i="1"/>
  <c r="F414" i="1" s="1"/>
  <c r="E421" i="1"/>
  <c r="F421" i="1" s="1"/>
  <c r="E422" i="1"/>
  <c r="F422" i="1" s="1"/>
  <c r="E428" i="1"/>
  <c r="E437" i="1"/>
  <c r="F437" i="1" s="1"/>
  <c r="E438" i="1"/>
  <c r="F438" i="1" s="1"/>
  <c r="E439" i="1"/>
  <c r="F439" i="1" s="1"/>
  <c r="E440" i="1"/>
  <c r="E441" i="1"/>
  <c r="E442" i="1"/>
  <c r="F442" i="1" s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E457" i="1"/>
  <c r="F457" i="1" s="1"/>
  <c r="E458" i="1"/>
  <c r="F458" i="1" s="1"/>
  <c r="E459" i="1"/>
  <c r="F459" i="1" s="1"/>
  <c r="E460" i="1"/>
  <c r="F460" i="1" s="1"/>
  <c r="F441" i="1"/>
  <c r="F428" i="1"/>
  <c r="E429" i="1" s="1"/>
  <c r="F364" i="1"/>
  <c r="E365" i="1" s="1"/>
  <c r="E356" i="1"/>
  <c r="F356" i="1" s="1"/>
  <c r="E357" i="1" s="1"/>
  <c r="F328" i="1"/>
  <c r="F277" i="1"/>
  <c r="E267" i="1"/>
  <c r="E263" i="1"/>
  <c r="F263" i="1" s="1"/>
  <c r="E262" i="1"/>
  <c r="F262" i="1" s="1"/>
  <c r="E261" i="1"/>
  <c r="F261" i="1" s="1"/>
  <c r="E260" i="1"/>
  <c r="E255" i="1"/>
  <c r="F255" i="1" s="1"/>
  <c r="E254" i="1"/>
  <c r="F254" i="1" s="1"/>
  <c r="E253" i="1"/>
  <c r="F253" i="1" s="1"/>
  <c r="E238" i="1"/>
  <c r="E231" i="1"/>
  <c r="F231" i="1" s="1"/>
  <c r="E230" i="1"/>
  <c r="F230" i="1" s="1"/>
  <c r="E229" i="1"/>
  <c r="F229" i="1" s="1"/>
  <c r="E228" i="1"/>
  <c r="E227" i="1"/>
  <c r="F227" i="1" s="1"/>
  <c r="E226" i="1"/>
  <c r="F226" i="1" s="1"/>
  <c r="E225" i="1"/>
  <c r="F225" i="1" s="1"/>
  <c r="E224" i="1"/>
  <c r="E220" i="1"/>
  <c r="F220" i="1" s="1"/>
  <c r="E219" i="1"/>
  <c r="F219" i="1" s="1"/>
  <c r="E218" i="1"/>
  <c r="F218" i="1" s="1"/>
  <c r="E217" i="1"/>
  <c r="F217" i="1" s="1"/>
  <c r="E213" i="1"/>
  <c r="E212" i="1"/>
  <c r="F212" i="1" s="1"/>
  <c r="E211" i="1"/>
  <c r="F211" i="1" s="1"/>
  <c r="E210" i="1"/>
  <c r="E209" i="1"/>
  <c r="F209" i="1" s="1"/>
  <c r="E208" i="1"/>
  <c r="E207" i="1"/>
  <c r="F207" i="1" s="1"/>
  <c r="E206" i="1"/>
  <c r="E204" i="1"/>
  <c r="F204" i="1" s="1"/>
  <c r="E203" i="1"/>
  <c r="F203" i="1" s="1"/>
  <c r="E197" i="1"/>
  <c r="E196" i="1"/>
  <c r="F196" i="1" s="1"/>
  <c r="E195" i="1"/>
  <c r="F195" i="1" s="1"/>
  <c r="E194" i="1"/>
  <c r="F194" i="1" s="1"/>
  <c r="E193" i="1"/>
  <c r="E192" i="1"/>
  <c r="F192" i="1" s="1"/>
  <c r="E191" i="1"/>
  <c r="F191" i="1" s="1"/>
  <c r="E190" i="1"/>
  <c r="F190" i="1" s="1"/>
  <c r="E186" i="1"/>
  <c r="E185" i="1"/>
  <c r="E184" i="1"/>
  <c r="F184" i="1" s="1"/>
  <c r="E183" i="1"/>
  <c r="F183" i="1" s="1"/>
  <c r="E179" i="1"/>
  <c r="F179" i="1" s="1"/>
  <c r="E178" i="1"/>
  <c r="F178" i="1" s="1"/>
  <c r="E177" i="1"/>
  <c r="E176" i="1"/>
  <c r="E175" i="1"/>
  <c r="E174" i="1"/>
  <c r="F174" i="1" s="1"/>
  <c r="E173" i="1"/>
  <c r="F173" i="1" s="1"/>
  <c r="E172" i="1"/>
  <c r="F172" i="1" s="1"/>
  <c r="E170" i="1"/>
  <c r="E169" i="1"/>
  <c r="F169" i="1" s="1"/>
  <c r="E162" i="1"/>
  <c r="F162" i="1" s="1"/>
  <c r="E161" i="1"/>
  <c r="F161" i="1" s="1"/>
  <c r="E159" i="1"/>
  <c r="E160" i="1"/>
  <c r="F160" i="1" s="1"/>
  <c r="E158" i="1"/>
  <c r="F158" i="1" s="1"/>
  <c r="E157" i="1"/>
  <c r="F157" i="1" s="1"/>
  <c r="E156" i="1"/>
  <c r="E155" i="1"/>
  <c r="F155" i="1" s="1"/>
  <c r="E154" i="1"/>
  <c r="F154" i="1" s="1"/>
  <c r="E153" i="1"/>
  <c r="F153" i="1" s="1"/>
  <c r="E149" i="1"/>
  <c r="E148" i="1"/>
  <c r="F148" i="1" s="1"/>
  <c r="E147" i="1"/>
  <c r="F147" i="1" s="1"/>
  <c r="E146" i="1"/>
  <c r="F146" i="1" s="1"/>
  <c r="E142" i="1"/>
  <c r="F142" i="1" s="1"/>
  <c r="E141" i="1"/>
  <c r="F141" i="1" s="1"/>
  <c r="E140" i="1"/>
  <c r="E139" i="1"/>
  <c r="E138" i="1"/>
  <c r="F138" i="1" s="1"/>
  <c r="E137" i="1"/>
  <c r="F137" i="1" s="1"/>
  <c r="E136" i="1"/>
  <c r="F136" i="1" s="1"/>
  <c r="E135" i="1"/>
  <c r="F135" i="1" s="1"/>
  <c r="E134" i="1"/>
  <c r="F134" i="1" s="1"/>
  <c r="E133" i="1"/>
  <c r="F133" i="1" s="1"/>
  <c r="F127" i="1"/>
  <c r="F116" i="1"/>
  <c r="E77" i="1"/>
  <c r="F83" i="1"/>
  <c r="E76" i="1"/>
  <c r="F76" i="1" s="1"/>
  <c r="E75" i="1"/>
  <c r="F75" i="1" s="1"/>
  <c r="E74" i="1"/>
  <c r="F66" i="1"/>
  <c r="E57" i="1"/>
  <c r="F57" i="1" s="1"/>
  <c r="E58" i="1" s="1"/>
  <c r="E53" i="1"/>
  <c r="F53" i="1" s="1"/>
  <c r="E41" i="1"/>
  <c r="F41" i="1" s="1"/>
  <c r="F36" i="1"/>
  <c r="F463" i="1"/>
  <c r="D456" i="1"/>
  <c r="D435" i="1"/>
  <c r="D445" i="1"/>
  <c r="D436" i="1" s="1"/>
  <c r="D259" i="1" s="1"/>
  <c r="F451" i="1"/>
  <c r="F440" i="1"/>
  <c r="D342" i="1"/>
  <c r="D419" i="1"/>
  <c r="D420" i="1"/>
  <c r="D376" i="1"/>
  <c r="D409" i="1"/>
  <c r="F413" i="1"/>
  <c r="F410" i="1"/>
  <c r="D401" i="1"/>
  <c r="F405" i="1"/>
  <c r="F402" i="1"/>
  <c r="D393" i="1"/>
  <c r="D344" i="1" s="1"/>
  <c r="F395" i="1"/>
  <c r="D385" i="1"/>
  <c r="F389" i="1"/>
  <c r="F387" i="1"/>
  <c r="F380" i="1"/>
  <c r="D343" i="1"/>
  <c r="F368" i="1"/>
  <c r="D363" i="1"/>
  <c r="D359" i="1" s="1"/>
  <c r="F350" i="1"/>
  <c r="F346" i="1"/>
  <c r="D296" i="1"/>
  <c r="D327" i="1"/>
  <c r="D377" i="1" s="1"/>
  <c r="F337" i="1"/>
  <c r="F336" i="1"/>
  <c r="D319" i="1"/>
  <c r="D305" i="1"/>
  <c r="F314" i="1"/>
  <c r="F311" i="1"/>
  <c r="F310" i="1"/>
  <c r="F302" i="1"/>
  <c r="F300" i="1"/>
  <c r="F291" i="1"/>
  <c r="F290" i="1"/>
  <c r="F289" i="1"/>
  <c r="F286" i="1"/>
  <c r="F281" i="1"/>
  <c r="F269" i="1"/>
  <c r="F267" i="1"/>
  <c r="F260" i="1"/>
  <c r="F250" i="1"/>
  <c r="F247" i="1"/>
  <c r="F246" i="1"/>
  <c r="D91" i="1"/>
  <c r="F238" i="1"/>
  <c r="D167" i="1"/>
  <c r="D152" i="1" s="1"/>
  <c r="D145" i="1" s="1"/>
  <c r="D132" i="1" s="1"/>
  <c r="D123" i="1" s="1"/>
  <c r="D202" i="1"/>
  <c r="D223" i="1"/>
  <c r="F228" i="1"/>
  <c r="F224" i="1"/>
  <c r="D216" i="1"/>
  <c r="D205" i="1" s="1"/>
  <c r="D243" i="1" s="1"/>
  <c r="F213" i="1"/>
  <c r="F210" i="1"/>
  <c r="F208" i="1"/>
  <c r="F206" i="1"/>
  <c r="D168" i="1"/>
  <c r="D189" i="1"/>
  <c r="D182" i="1" s="1"/>
  <c r="D171" i="1" s="1"/>
  <c r="F197" i="1"/>
  <c r="F193" i="1"/>
  <c r="F186" i="1"/>
  <c r="F185" i="1"/>
  <c r="F177" i="1"/>
  <c r="F176" i="1"/>
  <c r="F175" i="1"/>
  <c r="F170" i="1"/>
  <c r="D113" i="1"/>
  <c r="F159" i="1"/>
  <c r="F156" i="1"/>
  <c r="F149" i="1"/>
  <c r="F140" i="1"/>
  <c r="F139" i="1"/>
  <c r="F129" i="1"/>
  <c r="F120" i="1"/>
  <c r="D98" i="1"/>
  <c r="D92" i="1" s="1"/>
  <c r="F108" i="1"/>
  <c r="F104" i="1"/>
  <c r="F103" i="1"/>
  <c r="F99" i="1"/>
  <c r="D82" i="1"/>
  <c r="D32" i="1"/>
  <c r="D73" i="1"/>
  <c r="D62" i="1" s="1"/>
  <c r="D49" i="1" s="1"/>
  <c r="D34" i="1" s="1"/>
  <c r="F77" i="1"/>
  <c r="F74" i="1"/>
  <c r="F70" i="1"/>
  <c r="F68" i="1"/>
  <c r="F67" i="1"/>
  <c r="D33" i="1"/>
  <c r="D56" i="1"/>
  <c r="F52" i="1"/>
  <c r="F45" i="1"/>
  <c r="F40" i="1"/>
  <c r="D10" i="1"/>
  <c r="D4" i="1" s="1"/>
  <c r="F29" i="1"/>
  <c r="D24" i="1"/>
  <c r="D17" i="1"/>
  <c r="F21" i="1"/>
  <c r="F18" i="1"/>
  <c r="D11" i="1"/>
  <c r="F14" i="1"/>
  <c r="F6" i="1"/>
  <c r="H8" i="1" l="1"/>
  <c r="H47" i="1"/>
  <c r="H34" i="1" s="1"/>
  <c r="H15" i="1"/>
  <c r="H11" i="1" s="1"/>
  <c r="H22" i="1"/>
  <c r="H17" i="1" s="1"/>
  <c r="H423" i="1"/>
  <c r="H461" i="1"/>
  <c r="H456" i="1" s="1"/>
  <c r="D112" i="1"/>
  <c r="D114" i="1"/>
  <c r="D367" i="1" s="1"/>
  <c r="D427" i="1" s="1"/>
  <c r="G112" i="1"/>
  <c r="G114" i="1"/>
  <c r="G367" i="1" s="1"/>
  <c r="G427" i="1" s="1"/>
  <c r="D297" i="1"/>
  <c r="D355" i="1" s="1"/>
  <c r="D266" i="1" s="1"/>
  <c r="D258" i="1"/>
  <c r="D244" i="1" s="1"/>
  <c r="G349" i="1"/>
  <c r="G359" i="1"/>
  <c r="G319" i="1"/>
  <c r="D349" i="1"/>
  <c r="I365" i="1"/>
  <c r="H372" i="1" s="1"/>
  <c r="I58" i="1"/>
  <c r="I56" i="1" s="1"/>
  <c r="I361" i="1"/>
  <c r="I429" i="1"/>
  <c r="F357" i="1"/>
  <c r="F365" i="1"/>
  <c r="F58" i="1"/>
  <c r="F56" i="1" s="1"/>
  <c r="E56" i="1"/>
  <c r="F361" i="1"/>
  <c r="F429" i="1"/>
  <c r="E372" i="1" l="1"/>
  <c r="G297" i="1"/>
  <c r="G355" i="1" s="1"/>
  <c r="G266" i="1" s="1"/>
  <c r="G258" i="1"/>
  <c r="G244" i="1" s="1"/>
  <c r="I372" i="1"/>
  <c r="F372" i="1" l="1"/>
  <c r="E359" i="1" l="1"/>
  <c r="E347" i="1"/>
  <c r="F347" i="1" s="1"/>
  <c r="H347" i="1" l="1"/>
  <c r="E353" i="1"/>
  <c r="H359" i="1"/>
  <c r="F353" i="1" l="1"/>
  <c r="E349" i="1"/>
  <c r="H344" i="1"/>
  <c r="I347" i="1"/>
  <c r="H353" i="1" l="1"/>
  <c r="I8" i="1"/>
  <c r="I4" i="1" s="1"/>
  <c r="I15" i="1"/>
  <c r="I11" i="1" s="1"/>
  <c r="I47" i="1"/>
  <c r="I34" i="1" s="1"/>
  <c r="H54" i="1"/>
  <c r="H71" i="1"/>
  <c r="I71" i="1" s="1"/>
  <c r="I62" i="1" s="1"/>
  <c r="H78" i="1"/>
  <c r="H73" i="1" s="1"/>
  <c r="H89" i="1"/>
  <c r="I89" i="1" s="1"/>
  <c r="I82" i="1" s="1"/>
  <c r="H96" i="1"/>
  <c r="H92" i="1" s="1"/>
  <c r="H110" i="1"/>
  <c r="H98" i="1" s="1"/>
  <c r="H121" i="1"/>
  <c r="I121" i="1" s="1"/>
  <c r="I114" i="1" s="1"/>
  <c r="H130" i="1"/>
  <c r="I130" i="1" s="1"/>
  <c r="I123" i="1" s="1"/>
  <c r="H143" i="1"/>
  <c r="I143" i="1" s="1"/>
  <c r="I132" i="1" s="1"/>
  <c r="H150" i="1"/>
  <c r="I150" i="1" s="1"/>
  <c r="I145" i="1" s="1"/>
  <c r="H163" i="1"/>
  <c r="I163" i="1" s="1"/>
  <c r="I152" i="1" s="1"/>
  <c r="H180" i="1"/>
  <c r="I180" i="1" s="1"/>
  <c r="I171" i="1" s="1"/>
  <c r="H187" i="1"/>
  <c r="I187" i="1" s="1"/>
  <c r="I182" i="1" s="1"/>
  <c r="H198" i="1"/>
  <c r="I198" i="1" s="1"/>
  <c r="I189" i="1" s="1"/>
  <c r="H214" i="1"/>
  <c r="I214" i="1" s="1"/>
  <c r="I205" i="1" s="1"/>
  <c r="H221" i="1"/>
  <c r="I221" i="1" s="1"/>
  <c r="I216" i="1" s="1"/>
  <c r="H232" i="1"/>
  <c r="I232" i="1" s="1"/>
  <c r="I223" i="1" s="1"/>
  <c r="H256" i="1"/>
  <c r="I256" i="1" s="1"/>
  <c r="I244" i="1" s="1"/>
  <c r="H383" i="1"/>
  <c r="I383" i="1" s="1"/>
  <c r="I377" i="1" s="1"/>
  <c r="H391" i="1"/>
  <c r="H385" i="1" s="1"/>
  <c r="H399" i="1"/>
  <c r="I399" i="1" s="1"/>
  <c r="I393" i="1" s="1"/>
  <c r="H407" i="1"/>
  <c r="I407" i="1" s="1"/>
  <c r="I401" i="1" s="1"/>
  <c r="H443" i="1"/>
  <c r="I443" i="1" s="1"/>
  <c r="I436" i="1" s="1"/>
  <c r="E8" i="1"/>
  <c r="F8" i="1" s="1"/>
  <c r="F4" i="1" s="1"/>
  <c r="E15" i="1"/>
  <c r="F15" i="1" s="1"/>
  <c r="F11" i="1" s="1"/>
  <c r="E22" i="1"/>
  <c r="F22" i="1" s="1"/>
  <c r="F17" i="1" s="1"/>
  <c r="E27" i="1"/>
  <c r="F27" i="1" s="1"/>
  <c r="F24" i="1" s="1"/>
  <c r="E47" i="1"/>
  <c r="F47" i="1" s="1"/>
  <c r="F34" i="1" s="1"/>
  <c r="E54" i="1"/>
  <c r="E49" i="1" s="1"/>
  <c r="F54" i="1"/>
  <c r="F49" i="1" s="1"/>
  <c r="E71" i="1"/>
  <c r="E62" i="1" s="1"/>
  <c r="E78" i="1"/>
  <c r="E73" i="1" s="1"/>
  <c r="E89" i="1"/>
  <c r="F89" i="1" s="1"/>
  <c r="F82" i="1" s="1"/>
  <c r="E96" i="1"/>
  <c r="F96" i="1" s="1"/>
  <c r="F92" i="1" s="1"/>
  <c r="E110" i="1"/>
  <c r="E98" i="1" s="1"/>
  <c r="E121" i="1"/>
  <c r="F121" i="1" s="1"/>
  <c r="F114" i="1" s="1"/>
  <c r="E130" i="1"/>
  <c r="F130" i="1" s="1"/>
  <c r="F123" i="1" s="1"/>
  <c r="E143" i="1"/>
  <c r="F143" i="1" s="1"/>
  <c r="F132" i="1" s="1"/>
  <c r="E150" i="1"/>
  <c r="F150" i="1" s="1"/>
  <c r="F145" i="1" s="1"/>
  <c r="E163" i="1"/>
  <c r="E152" i="1" s="1"/>
  <c r="E180" i="1"/>
  <c r="F180" i="1" s="1"/>
  <c r="F171" i="1" s="1"/>
  <c r="E187" i="1"/>
  <c r="F187" i="1" s="1"/>
  <c r="F182" i="1" s="1"/>
  <c r="E198" i="1"/>
  <c r="F198" i="1" s="1"/>
  <c r="F189" i="1" s="1"/>
  <c r="E214" i="1"/>
  <c r="F214" i="1" s="1"/>
  <c r="F205" i="1" s="1"/>
  <c r="E221" i="1"/>
  <c r="F221" i="1" s="1"/>
  <c r="F216" i="1" s="1"/>
  <c r="E232" i="1"/>
  <c r="F232" i="1" s="1"/>
  <c r="F223" i="1" s="1"/>
  <c r="E256" i="1"/>
  <c r="F256" i="1" s="1"/>
  <c r="F244" i="1" s="1"/>
  <c r="E383" i="1"/>
  <c r="F383" i="1" s="1"/>
  <c r="F377" i="1" s="1"/>
  <c r="E391" i="1"/>
  <c r="E385" i="1" s="1"/>
  <c r="E399" i="1"/>
  <c r="F399" i="1" s="1"/>
  <c r="F393" i="1" s="1"/>
  <c r="E407" i="1"/>
  <c r="E443" i="1"/>
  <c r="I344" i="1"/>
  <c r="F344" i="1"/>
  <c r="F367" i="1"/>
  <c r="H264" i="1"/>
  <c r="I264" i="1" s="1"/>
  <c r="I259" i="1" s="1"/>
  <c r="H292" i="1"/>
  <c r="H266" i="1" s="1"/>
  <c r="H303" i="1"/>
  <c r="H297" i="1" s="1"/>
  <c r="H355" i="1" s="1"/>
  <c r="H317" i="1"/>
  <c r="E264" i="1"/>
  <c r="F264" i="1" s="1"/>
  <c r="F259" i="1" s="1"/>
  <c r="E292" i="1"/>
  <c r="E266" i="1" s="1"/>
  <c r="E303" i="1"/>
  <c r="F303" i="1" s="1"/>
  <c r="F297" i="1" s="1"/>
  <c r="E317" i="1"/>
  <c r="F363" i="1"/>
  <c r="F359" i="1"/>
  <c r="E415" i="1"/>
  <c r="F415" i="1" s="1"/>
  <c r="F409" i="1" s="1"/>
  <c r="H415" i="1"/>
  <c r="H409" i="1" s="1"/>
  <c r="I363" i="1"/>
  <c r="I359" i="1"/>
  <c r="I367" i="1"/>
  <c r="E367" i="1"/>
  <c r="H452" i="1"/>
  <c r="I452" i="1" s="1"/>
  <c r="I445" i="1" s="1"/>
  <c r="I461" i="1"/>
  <c r="I456" i="1" s="1"/>
  <c r="E355" i="1"/>
  <c r="H367" i="1"/>
  <c r="E259" i="1"/>
  <c r="F427" i="1"/>
  <c r="I427" i="1"/>
  <c r="E344" i="1"/>
  <c r="F349" i="1"/>
  <c r="E325" i="1"/>
  <c r="E319" i="1" s="1"/>
  <c r="E338" i="1"/>
  <c r="F338" i="1" s="1"/>
  <c r="F327" i="1" s="1"/>
  <c r="H325" i="1"/>
  <c r="H338" i="1"/>
  <c r="H327" i="1" s="1"/>
  <c r="F355" i="1"/>
  <c r="E423" i="1"/>
  <c r="E452" i="1"/>
  <c r="F452" i="1" s="1"/>
  <c r="F445" i="1" s="1"/>
  <c r="E461" i="1"/>
  <c r="E456" i="1" s="1"/>
  <c r="E427" i="1"/>
  <c r="H427" i="1"/>
  <c r="I355" i="1"/>
  <c r="E377" i="1" l="1"/>
  <c r="H205" i="1"/>
  <c r="F461" i="1"/>
  <c r="F456" i="1" s="1"/>
  <c r="H152" i="1"/>
  <c r="E34" i="1"/>
  <c r="E24" i="1"/>
  <c r="E182" i="1"/>
  <c r="F163" i="1"/>
  <c r="F152" i="1" s="1"/>
  <c r="E165" i="1" s="1"/>
  <c r="I54" i="1"/>
  <c r="I49" i="1" s="1"/>
  <c r="H60" i="1" s="1"/>
  <c r="H49" i="1"/>
  <c r="E171" i="1"/>
  <c r="E123" i="1"/>
  <c r="E216" i="1"/>
  <c r="E30" i="1"/>
  <c r="F30" i="1" s="1"/>
  <c r="F10" i="1" s="1"/>
  <c r="E92" i="1"/>
  <c r="E205" i="1"/>
  <c r="E327" i="1"/>
  <c r="E11" i="1"/>
  <c r="E409" i="1"/>
  <c r="E114" i="1"/>
  <c r="F292" i="1"/>
  <c r="F266" i="1" s="1"/>
  <c r="E294" i="1" s="1"/>
  <c r="E258" i="1" s="1"/>
  <c r="E244" i="1" s="1"/>
  <c r="E223" i="1"/>
  <c r="E200" i="1"/>
  <c r="E168" i="1" s="1"/>
  <c r="H445" i="1"/>
  <c r="H454" i="1"/>
  <c r="H435" i="1" s="1"/>
  <c r="I415" i="1"/>
  <c r="I409" i="1" s="1"/>
  <c r="H401" i="1"/>
  <c r="I338" i="1"/>
  <c r="I327" i="1" s="1"/>
  <c r="H244" i="1"/>
  <c r="H216" i="1"/>
  <c r="H200" i="1"/>
  <c r="H168" i="1" s="1"/>
  <c r="H145" i="1"/>
  <c r="H132" i="1"/>
  <c r="H123" i="1"/>
  <c r="I96" i="1"/>
  <c r="I92" i="1" s="1"/>
  <c r="E4" i="1"/>
  <c r="H4" i="1"/>
  <c r="I22" i="1"/>
  <c r="I17" i="1" s="1"/>
  <c r="H436" i="1"/>
  <c r="I200" i="1"/>
  <c r="I168" i="1" s="1"/>
  <c r="H165" i="1"/>
  <c r="E374" i="1"/>
  <c r="E436" i="1"/>
  <c r="F443" i="1"/>
  <c r="F436" i="1" s="1"/>
  <c r="E454" i="1" s="1"/>
  <c r="E60" i="1"/>
  <c r="H259" i="1"/>
  <c r="F317" i="1"/>
  <c r="F305" i="1" s="1"/>
  <c r="E305" i="1"/>
  <c r="H420" i="1"/>
  <c r="I423" i="1"/>
  <c r="I420" i="1" s="1"/>
  <c r="H425" i="1" s="1"/>
  <c r="E234" i="1"/>
  <c r="E445" i="1"/>
  <c r="E420" i="1"/>
  <c r="F423" i="1"/>
  <c r="F420" i="1" s="1"/>
  <c r="E425" i="1" s="1"/>
  <c r="H377" i="1"/>
  <c r="E297" i="1"/>
  <c r="E132" i="1"/>
  <c r="I317" i="1"/>
  <c r="I305" i="1" s="1"/>
  <c r="H305" i="1"/>
  <c r="I292" i="1"/>
  <c r="I266" i="1" s="1"/>
  <c r="H294" i="1" s="1"/>
  <c r="E401" i="1"/>
  <c r="F407" i="1"/>
  <c r="F401" i="1" s="1"/>
  <c r="H114" i="1"/>
  <c r="H223" i="1"/>
  <c r="H319" i="1"/>
  <c r="I325" i="1"/>
  <c r="I319" i="1" s="1"/>
  <c r="F325" i="1"/>
  <c r="F319" i="1" s="1"/>
  <c r="E393" i="1"/>
  <c r="E17" i="1"/>
  <c r="E189" i="1"/>
  <c r="I303" i="1"/>
  <c r="I297" i="1" s="1"/>
  <c r="H234" i="1"/>
  <c r="F71" i="1"/>
  <c r="F62" i="1" s="1"/>
  <c r="E145" i="1"/>
  <c r="F391" i="1"/>
  <c r="F385" i="1" s="1"/>
  <c r="F110" i="1"/>
  <c r="F98" i="1" s="1"/>
  <c r="F78" i="1"/>
  <c r="F73" i="1" s="1"/>
  <c r="I391" i="1"/>
  <c r="I385" i="1" s="1"/>
  <c r="I110" i="1"/>
  <c r="I98" i="1" s="1"/>
  <c r="I78" i="1"/>
  <c r="I73" i="1" s="1"/>
  <c r="I27" i="1"/>
  <c r="I24" i="1" s="1"/>
  <c r="H393" i="1"/>
  <c r="H62" i="1"/>
  <c r="I353" i="1"/>
  <c r="I349" i="1" s="1"/>
  <c r="H374" i="1" s="1"/>
  <c r="H349" i="1"/>
  <c r="E10" i="1" l="1"/>
  <c r="F200" i="1"/>
  <c r="F168" i="1" s="1"/>
  <c r="H30" i="1"/>
  <c r="H10" i="1" s="1"/>
  <c r="I60" i="1"/>
  <c r="I33" i="1" s="1"/>
  <c r="H80" i="1" s="1"/>
  <c r="H32" i="1" s="1"/>
  <c r="H33" i="1"/>
  <c r="E340" i="1"/>
  <c r="F340" i="1" s="1"/>
  <c r="F296" i="1" s="1"/>
  <c r="F294" i="1"/>
  <c r="F258" i="1" s="1"/>
  <c r="E417" i="1"/>
  <c r="E376" i="1" s="1"/>
  <c r="I454" i="1"/>
  <c r="I435" i="1" s="1"/>
  <c r="H417" i="1"/>
  <c r="I417" i="1" s="1"/>
  <c r="I376" i="1" s="1"/>
  <c r="H340" i="1"/>
  <c r="H296" i="1" s="1"/>
  <c r="H258" i="1"/>
  <c r="I294" i="1"/>
  <c r="I258" i="1" s="1"/>
  <c r="H343" i="1"/>
  <c r="H363" i="1" s="1"/>
  <c r="I374" i="1"/>
  <c r="I343" i="1" s="1"/>
  <c r="H202" i="1"/>
  <c r="H189" i="1" s="1"/>
  <c r="H182" i="1" s="1"/>
  <c r="H171" i="1" s="1"/>
  <c r="I234" i="1"/>
  <c r="I202" i="1" s="1"/>
  <c r="H236" i="1" s="1"/>
  <c r="E202" i="1"/>
  <c r="F234" i="1"/>
  <c r="F202" i="1" s="1"/>
  <c r="F454" i="1"/>
  <c r="F435" i="1" s="1"/>
  <c r="E435" i="1"/>
  <c r="H113" i="1"/>
  <c r="I165" i="1"/>
  <c r="I113" i="1" s="1"/>
  <c r="E419" i="1"/>
  <c r="F425" i="1"/>
  <c r="F419" i="1" s="1"/>
  <c r="H419" i="1"/>
  <c r="I425" i="1"/>
  <c r="I419" i="1" s="1"/>
  <c r="F60" i="1"/>
  <c r="F33" i="1" s="1"/>
  <c r="E80" i="1" s="1"/>
  <c r="E33" i="1"/>
  <c r="E343" i="1"/>
  <c r="E363" i="1" s="1"/>
  <c r="F374" i="1"/>
  <c r="F343" i="1" s="1"/>
  <c r="E113" i="1"/>
  <c r="F165" i="1"/>
  <c r="F113" i="1" s="1"/>
  <c r="E236" i="1" l="1"/>
  <c r="E296" i="1"/>
  <c r="F417" i="1"/>
  <c r="F376" i="1" s="1"/>
  <c r="E431" i="1" s="1"/>
  <c r="H376" i="1"/>
  <c r="H431" i="1"/>
  <c r="I340" i="1"/>
  <c r="I296" i="1" s="1"/>
  <c r="I30" i="1"/>
  <c r="I10" i="1" s="1"/>
  <c r="I80" i="1"/>
  <c r="I32" i="1" s="1"/>
  <c r="F236" i="1"/>
  <c r="F167" i="1" s="1"/>
  <c r="E239" i="1" s="1"/>
  <c r="E167" i="1"/>
  <c r="E32" i="1"/>
  <c r="F80" i="1"/>
  <c r="F32" i="1" s="1"/>
  <c r="H167" i="1"/>
  <c r="I236" i="1"/>
  <c r="I167" i="1" s="1"/>
  <c r="H239" i="1" s="1"/>
  <c r="F431" i="1" l="1"/>
  <c r="F342" i="1" s="1"/>
  <c r="E433" i="1" s="1"/>
  <c r="E342" i="1"/>
  <c r="H112" i="1"/>
  <c r="I239" i="1"/>
  <c r="I112" i="1" s="1"/>
  <c r="H241" i="1" s="1"/>
  <c r="E112" i="1"/>
  <c r="F239" i="1"/>
  <c r="F112" i="1" s="1"/>
  <c r="E241" i="1" s="1"/>
  <c r="H342" i="1"/>
  <c r="I431" i="1"/>
  <c r="I342" i="1" s="1"/>
  <c r="H433" i="1" s="1"/>
  <c r="E243" i="1"/>
  <c r="F433" i="1"/>
  <c r="F243" i="1" s="1"/>
  <c r="H243" i="1" l="1"/>
  <c r="I433" i="1"/>
  <c r="I243" i="1" s="1"/>
  <c r="H91" i="1"/>
  <c r="H82" i="1" s="1"/>
  <c r="I241" i="1"/>
  <c r="I91" i="1" s="1"/>
  <c r="E91" i="1"/>
  <c r="E82" i="1" s="1"/>
  <c r="F241" i="1"/>
  <c r="F91" i="1" s="1"/>
  <c r="E464" i="1" s="1"/>
  <c r="F464" i="1" s="1"/>
  <c r="F466" i="1" s="1"/>
  <c r="H464" i="1" l="1"/>
  <c r="I464" i="1" s="1"/>
  <c r="F468" i="1"/>
  <c r="F467" i="1"/>
  <c r="I468" i="1" l="1"/>
  <c r="I466" i="1"/>
  <c r="I467" i="1" s="1"/>
  <c r="F469" i="1"/>
  <c r="F470" i="1" s="1"/>
  <c r="F471" i="1" s="1"/>
  <c r="I469" i="1" l="1"/>
  <c r="I470" i="1" s="1"/>
  <c r="I47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Pérez Monje, David</author>
  </authors>
  <commentList>
    <comment ref="A3" authorId="0" shapeId="0" xr:uid="{E51CCEF2-1BFF-47D9-A5FB-AB88FB9A384D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5C87BFA4-0096-4919-99DA-81EED2DD3DD1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C3" authorId="0" shapeId="0" xr:uid="{A5F6A704-DA8C-4B0E-A7E8-9EF9081A7C09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D3" authorId="0" shapeId="0" xr:uid="{1FA1E262-1712-472E-8F27-482D78FC9EA7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E3" authorId="0" shapeId="0" xr:uid="{4A9CF4D2-BE25-4149-BE4A-CC39F39DA904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F3" authorId="0" shapeId="0" xr:uid="{14F84469-74C7-49F5-BA51-230DFB93858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G3" authorId="0" shapeId="0" xr:uid="{133F29CF-DF00-49DF-B0C4-D2728D6725B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H3" authorId="0" shapeId="0" xr:uid="{4F4F0AB7-6FF4-4BF6-BD3E-ACAA92AE786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I3" authorId="0" shapeId="0" xr:uid="{6DF13C16-C9C4-4128-9E2B-63597B16216C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<sst xmlns="http://schemas.openxmlformats.org/spreadsheetml/2006/main" count="1098" uniqueCount="649">
  <si>
    <t>RENOVACIÓN INTEGRAL DE PLATAFORMA DE VÍA EN LÍNEA 8. COLOMBIA-PINAR DEL REY PK18+000 A PK19+006</t>
  </si>
  <si>
    <t>Código</t>
  </si>
  <si>
    <t>Ud</t>
  </si>
  <si>
    <t>Resumen</t>
  </si>
  <si>
    <t>01</t>
  </si>
  <si>
    <t/>
  </si>
  <si>
    <t>TRABAJOS PREVIOS Y TRABAJOS AUXILIARES</t>
  </si>
  <si>
    <t>01.01</t>
  </si>
  <si>
    <t>m</t>
  </si>
  <si>
    <t>TOMA DE DATOS CON CARRO MEDIDOR. JORNADA 2:30 - 5:00 A.M.</t>
  </si>
  <si>
    <t>01.02</t>
  </si>
  <si>
    <t>u</t>
  </si>
  <si>
    <t>EXTRACCIÓN/CORTE PERNOS ANCLAJE PLACAS BOTTOM-UP</t>
  </si>
  <si>
    <t>01.03</t>
  </si>
  <si>
    <t>INSTALACIÓN PROVISIONAL TUBO PVC 160MM CON CONEXIONES EN T PARA LA EXTRACCIÓN AGUA JUNTO HASTIAL</t>
  </si>
  <si>
    <t>Total 01</t>
  </si>
  <si>
    <t>02</t>
  </si>
  <si>
    <t>DESMONTAJES, DESGUARNECIDOS, DESGRAVADOS Y DEMOLICIONES</t>
  </si>
  <si>
    <t>02.01</t>
  </si>
  <si>
    <t>DEMOLICIÓN Y VACIADO DE HORMIGÓN Y RELLENO</t>
  </si>
  <si>
    <t>02.01.01</t>
  </si>
  <si>
    <t>m3</t>
  </si>
  <si>
    <t>DEMOLICIÓN Y DESGRAVADO LOSAS Y SOLERAS HORMIGÓN CON P.P. DE TACOS. CON CIERRE</t>
  </si>
  <si>
    <t>02.01.02</t>
  </si>
  <si>
    <t>EXCAVACIÓN POR MEDIOS MECÁNICOS CONVENCIONALES DEL RELLENO BAJO PLATAFORMA DE VÍA . CON CIERRE</t>
  </si>
  <si>
    <t>02.01.03</t>
  </si>
  <si>
    <t>RETIRADA, CARGA Y TRANSPORTE DE ESCOMBROS A DEPÓSITO. CON CIERRE</t>
  </si>
  <si>
    <t>Total 02.01</t>
  </si>
  <si>
    <t>02.02</t>
  </si>
  <si>
    <t>DESMONTAJE DE VÍA</t>
  </si>
  <si>
    <t>02.02.01</t>
  </si>
  <si>
    <t>DESMONTAJE DE CARRIL Y JUNTAS. CON CIERRE</t>
  </si>
  <si>
    <t>02.02.02</t>
  </si>
  <si>
    <t>CARGA, TRANSPORTE Y DESCARGA DE JUNTAS Y CARRIL EN VÍA DOBLE. CON CIERRE</t>
  </si>
  <si>
    <t>02.02.03</t>
  </si>
  <si>
    <t>ud</t>
  </si>
  <si>
    <t>DESMONTAJE DE PLACA DE FIJACIÓN DIRECTA CON LEVANTE Y BAJADA DE CARRIL. CON CIERRE</t>
  </si>
  <si>
    <t>02.02.04</t>
  </si>
  <si>
    <t>CARGA, TRANSPORTE Y DESCARGA DE TACOS/PLACAS EN VÍA DOBLE. CON CIERRE</t>
  </si>
  <si>
    <t>Total 02.02</t>
  </si>
  <si>
    <t>02.03</t>
  </si>
  <si>
    <t>DESMONTAJE DE OTROS ELEMENTOS</t>
  </si>
  <si>
    <t>02.03.01</t>
  </si>
  <si>
    <t>DESMONTAJE DE ENGRASADOR. CON CIERRE</t>
  </si>
  <si>
    <t>02.03.02</t>
  </si>
  <si>
    <t>DESCONEXIONADO PUENTE JUNTAS. CON CIERRE</t>
  </si>
  <si>
    <t>Total 02.03</t>
  </si>
  <si>
    <t>02.04</t>
  </si>
  <si>
    <t>PA</t>
  </si>
  <si>
    <t>PARTIDA ALZADA A JUSTIFICAR PARA ACTUACIONES/MATERIALES ADICIONALES</t>
  </si>
  <si>
    <t>Total 02</t>
  </si>
  <si>
    <t>03</t>
  </si>
  <si>
    <t>MONTAJE DE VÍA Y FORMACIÓN DE PLATAFORMA</t>
  </si>
  <si>
    <t>03.01</t>
  </si>
  <si>
    <t>MONTAJE DE VÍA, APARATOS Y ELEMENTOS AUXILIARES</t>
  </si>
  <si>
    <t>03.01.02</t>
  </si>
  <si>
    <t>MONTAJE DE VÍA</t>
  </si>
  <si>
    <t>03.01.02.01</t>
  </si>
  <si>
    <t>SUMINISTRO DE CARRIL 54E1</t>
  </si>
  <si>
    <t>03.01.02.02</t>
  </si>
  <si>
    <t>03.01.02.03</t>
  </si>
  <si>
    <t>CARGA, TRANSPORTE Y DESCARGA DE JUNTAS Y CARRIL. CON CIERRE</t>
  </si>
  <si>
    <t>03.01.02.04</t>
  </si>
  <si>
    <t>MONTAJE Y ENGRAPADO DE CARRIL. CON CIERRE</t>
  </si>
  <si>
    <t>03.01.02.05</t>
  </si>
  <si>
    <t>CONEXIONADO DE CARRIL O JA PARA SEÑALES. JORNADA 2:30 - 5:00 A.M.</t>
  </si>
  <si>
    <t>03.01.02.06</t>
  </si>
  <si>
    <t>ALINEACIÓN Y NIVELACIÓN CON CARRO DE VÍA SENCILLA. CON CIERRE</t>
  </si>
  <si>
    <t>03.01.02.07</t>
  </si>
  <si>
    <t>ALINEACIÓN Y NIVELACIÓN CON CARRO DE VÍA SENCILLA. JORNADA 2:30 - 5:00 A.M.</t>
  </si>
  <si>
    <t>03.01.02.08</t>
  </si>
  <si>
    <t>03.01.02.09</t>
  </si>
  <si>
    <t>SUMINISTRO KIT DE JUNTA AISLANTE DE FIBRA DE VIDRIO, PARA CARRIL 54E1</t>
  </si>
  <si>
    <t>03.01.02.10</t>
  </si>
  <si>
    <t>MONTAJE IN SITU DE JUNTA, PARA CARRIL 54 O 60E1. JORNADA 2:30 - 5:00 A.M.</t>
  </si>
  <si>
    <t>03.01.02.11</t>
  </si>
  <si>
    <t>PARTIDA ALZADA INSTALACIONES. A JUSTIFICAR</t>
  </si>
  <si>
    <t>03.01.02.12</t>
  </si>
  <si>
    <t>TRANSPORTE MAQUINARIA FRESADO  DESDE ORIGEN A DEPÓSITO Y VICEVERSA</t>
  </si>
  <si>
    <t>FRESADO SUPERFICIAL DE CARRIL</t>
  </si>
  <si>
    <t>Total 03.01.02</t>
  </si>
  <si>
    <t>03.01.03</t>
  </si>
  <si>
    <t>MONTAJE DE ELEMENTOS DE SUJECIÓN</t>
  </si>
  <si>
    <t>03.01.03.01</t>
  </si>
  <si>
    <t>SUMINISTRO ANCLAJE, TORNILLO Y ARANDELA PARA MONTAJE TOP-DOWN DE PLACA ADHERIZADA O EQUIVALENTE</t>
  </si>
  <si>
    <t>03.01.03.02</t>
  </si>
  <si>
    <t>SUMINISTRO PLACA DE FIJACIÓN DIRECTA DFF/ADH CON SKL-1 O EQUIVALENTE PARA CARRIL 54E1 PARA MONTAJE BOTTOM-UP</t>
  </si>
  <si>
    <t>03.01.03.03</t>
  </si>
  <si>
    <t>MONTAJE DE PLACA DE FIJACION DIRECTA DFF/ADH O EQUIVALENTE PARA HORMIGONADO (MONTAJE TOP-DOWN). CON CIERRE</t>
  </si>
  <si>
    <t>AV0220</t>
  </si>
  <si>
    <t>SUMINISTRO PLACA DE FIJACIÓN DIRECTA DFF/ADH CON SKL-1 O EQUIVALENTE PARA CARRIL 54E1 PARA HORMIGONADO (MONTAJE TOP-DOWN)</t>
  </si>
  <si>
    <t>Total 03.01.03</t>
  </si>
  <si>
    <t>03.01.04</t>
  </si>
  <si>
    <t>OTROS ELEMENTOS</t>
  </si>
  <si>
    <t>MONTAJE DE ENGRASADOR. CON CIERRE</t>
  </si>
  <si>
    <t>Total 03.01.04</t>
  </si>
  <si>
    <t>Total 03.01</t>
  </si>
  <si>
    <t>03.02</t>
  </si>
  <si>
    <t>FORMACIÓN DE PLATAFORMA</t>
  </si>
  <si>
    <t>03.02.01</t>
  </si>
  <si>
    <t>m²</t>
  </si>
  <si>
    <t>NIVELACIÓN Y COMPACTADO DE GRAVA-CEMENTO EXISTENTE</t>
  </si>
  <si>
    <t>03.02.02</t>
  </si>
  <si>
    <t>m³</t>
  </si>
  <si>
    <t>HORMIGÓN HA-30/B/20/IV+QB O HA-30/F/20/IV+QB, DE CENTRAL, CON CEMENTO SR DE CENTRAL CON BOMBEO. CON CIERRE</t>
  </si>
  <si>
    <t>03.02.03</t>
  </si>
  <si>
    <t>MORTERO DE IMPERMEABILIZACIÓN DEL HORMIGÓN</t>
  </si>
  <si>
    <t>03.02.04</t>
  </si>
  <si>
    <t>kg</t>
  </si>
  <si>
    <t>ARMADO ACERO CORRUGADO</t>
  </si>
  <si>
    <t>03.02.05</t>
  </si>
  <si>
    <t>JUNTA DE DILATACION "WATER-STOP"</t>
  </si>
  <si>
    <t>03.02.06</t>
  </si>
  <si>
    <t>SUMINISTRO DE REJILLA METÁLICA DE 1000X300 MM PARA CANAL CENTRAL.</t>
  </si>
  <si>
    <t>03.02.07</t>
  </si>
  <si>
    <t>COLOCACIÓN TUBO CORRUGADO BAJO HORMIGÓN DE BATEO PARA INSTALACIÓN DE CABLEADO</t>
  </si>
  <si>
    <t>03.02.08</t>
  </si>
  <si>
    <t>PARTIDA ALZADA  A JUSTIFICAR  SALIDAS EMERGENCIA Y ACTUACIONES PLATAFORMA ZONAS COLINDANTES</t>
  </si>
  <si>
    <t>Total 03.02</t>
  </si>
  <si>
    <t>03.03</t>
  </si>
  <si>
    <t>LIMPIEZA</t>
  </si>
  <si>
    <t>LIMPIEZA DE PLACAS DE KILOMETRAJE/ PIQUETES O SIMILARES. CON CIERRE</t>
  </si>
  <si>
    <t>LIMPIEZA FINAL DE LA ZONA DE OBRAS. CON CIERRE</t>
  </si>
  <si>
    <t>DESATRANCO/LIMPIEZA DE DRENAJE SUBTERRÁNEO. CON CIERRE</t>
  </si>
  <si>
    <t>DESATRANCO/LIMPIEZA DE ARQUETAS Y CANALES. CON CIERRE</t>
  </si>
  <si>
    <t>Total 03.03</t>
  </si>
  <si>
    <t>Total 03</t>
  </si>
  <si>
    <t>04</t>
  </si>
  <si>
    <t>CANALIZACION DE FILTRACIONES Y SELLADO DE JUNTAS</t>
  </si>
  <si>
    <t>04.1.</t>
  </si>
  <si>
    <t>Total 04</t>
  </si>
  <si>
    <t>05</t>
  </si>
  <si>
    <t>ACTUACIONES AUXILIARES DE ESTACIONES</t>
  </si>
  <si>
    <t>05.01</t>
  </si>
  <si>
    <t>PROTECCIÓN ESCALERAS, PEAJES, INSTALACIONES</t>
  </si>
  <si>
    <t>05.01.01</t>
  </si>
  <si>
    <t>PROTECCIÓN DE ESCALERA MECÁNICA CON LONA</t>
  </si>
  <si>
    <t>05.01.02</t>
  </si>
  <si>
    <t>PROTECCIÓN DE BATERÍA DE PEAJE CON LONA</t>
  </si>
  <si>
    <t>05.01.03</t>
  </si>
  <si>
    <t>PROTECCIÓN DE AGRUPACIÓN DE INSTALACIONES (MÁQUINAS, ETC) CON LONA</t>
  </si>
  <si>
    <t>Total 05.01</t>
  </si>
  <si>
    <t>05.02</t>
  </si>
  <si>
    <t>INSTALACIONES EN ESTACIONES</t>
  </si>
  <si>
    <t>05.02.01</t>
  </si>
  <si>
    <t>m2</t>
  </si>
  <si>
    <t>CERRAMIENTO DE TÚNEL CON TAPE DE LONA O EQUIVALENTE. JORNADA 2:30 - 5:00 A.M.</t>
  </si>
  <si>
    <t>05.02.02</t>
  </si>
  <si>
    <t>CERRAMIENTO EXTERIOR DE ESTACIÓN CON CHAPA PEGASO O EQUIVALENTE. JORNADA 2:30 - 5:00 A.M.</t>
  </si>
  <si>
    <t>05.02.03</t>
  </si>
  <si>
    <t>SUMINISTRO Y MONTAJE DE CABINA DE CONDUCTORES Y ADECUACION DE CABINA DE ANDEN. JORNADA 2:30 - 5:00 A.M.</t>
  </si>
  <si>
    <t>05.02.04</t>
  </si>
  <si>
    <t>CERRAMIENTO DE ANDENES, PASILLOS Y/O VESTÍBULOS ESTACIÓN CON PLADUR O EQUIVALENTE. JORNADA 2:30 - 5:00 A.M.</t>
  </si>
  <si>
    <t>05.02.05</t>
  </si>
  <si>
    <t>PUERTA 1 HOJA CHAPA GALVANIZADA CON CERRADURA NORMALIZADA DE METRO DE MADRID</t>
  </si>
  <si>
    <t>05.02.07</t>
  </si>
  <si>
    <t>CIMENTACIÓN POSTE PARADA AUTOBÚS</t>
  </si>
  <si>
    <t>05.02.08</t>
  </si>
  <si>
    <t>POSTE PARADA AUTOBUS</t>
  </si>
  <si>
    <t>05.02.09</t>
  </si>
  <si>
    <t>SEÑALIZACIÓN PARADA AUTOBUS</t>
  </si>
  <si>
    <t>05.02.10</t>
  </si>
  <si>
    <t>REPOSICIÓN DE VIALES</t>
  </si>
  <si>
    <t>05.02.11</t>
  </si>
  <si>
    <t>AVANCE PARADA DE AUTOBÚS</t>
  </si>
  <si>
    <t>05.02.12</t>
  </si>
  <si>
    <t>PARTIDA ALZADA REQUERIMIENTOS OPERATIVOS. A JUSTIFICAR</t>
  </si>
  <si>
    <t>Total 05.02</t>
  </si>
  <si>
    <t>05.03</t>
  </si>
  <si>
    <t>SEÑALIZACIÓN AL VIAJERO</t>
  </si>
  <si>
    <t>SÑ.S</t>
  </si>
  <si>
    <t>SUMINISTRO DE MATERIAL</t>
  </si>
  <si>
    <t>SÑ.S.00</t>
  </si>
  <si>
    <t>GENERAL</t>
  </si>
  <si>
    <t>SÑ.S.00.01</t>
  </si>
  <si>
    <t>Cuadro de aviso para planos</t>
  </si>
  <si>
    <t>SÑ.S.00.02</t>
  </si>
  <si>
    <t>Cuadro de aviso para planos ML1</t>
  </si>
  <si>
    <t>SÑ.S.00.03</t>
  </si>
  <si>
    <t>Cartel cierre armario</t>
  </si>
  <si>
    <t>SÑ.S.00.04</t>
  </si>
  <si>
    <t>Cartel cierre caballete</t>
  </si>
  <si>
    <t>SÑ.S.00.05</t>
  </si>
  <si>
    <t>Cartel reapertura armario</t>
  </si>
  <si>
    <t>SÑ.S.00.06</t>
  </si>
  <si>
    <t>Cartel reapertura caballete</t>
  </si>
  <si>
    <t>Total SÑ.S.00</t>
  </si>
  <si>
    <t>SÑ.S.01</t>
  </si>
  <si>
    <t>LÍNEA 8 EN EXPLOTACIÓN</t>
  </si>
  <si>
    <t>SÑ.S.01.01</t>
  </si>
  <si>
    <t>Panel R.E. 940 andén 1</t>
  </si>
  <si>
    <t>SÑ.S.01.02</t>
  </si>
  <si>
    <t>Panel R.E. 940 andén 2</t>
  </si>
  <si>
    <t>SÑ.S.01.03</t>
  </si>
  <si>
    <t>Horarios andén 1 - Cierre</t>
  </si>
  <si>
    <t>SÑ.S.01.04</t>
  </si>
  <si>
    <t>Horarios andén 2 - Cierre</t>
  </si>
  <si>
    <t>SÑ.S.01.05</t>
  </si>
  <si>
    <t>Horarios andén 1 - Reapertura</t>
  </si>
  <si>
    <t>SÑ.S.01.06</t>
  </si>
  <si>
    <t>Horarios andén 2 - Reapertura</t>
  </si>
  <si>
    <t>Total SÑ.S.01</t>
  </si>
  <si>
    <t>SÑ.S.02</t>
  </si>
  <si>
    <t>COLOMBIA</t>
  </si>
  <si>
    <t>SÑ.S.02.01</t>
  </si>
  <si>
    <t>Vinilo información de cierre</t>
  </si>
  <si>
    <t>SÑ.S.02.02</t>
  </si>
  <si>
    <t>Paneles PVC información de cierre</t>
  </si>
  <si>
    <t>SÑ.S.02.03</t>
  </si>
  <si>
    <t>Vinilos direccionales autobús</t>
  </si>
  <si>
    <t>SÑ.S.02.04</t>
  </si>
  <si>
    <t>Paneles PVC direccionales autobús</t>
  </si>
  <si>
    <t>SÑ.S.02.05</t>
  </si>
  <si>
    <t>Flechas exteriores</t>
  </si>
  <si>
    <t>SÑ.S.02.06</t>
  </si>
  <si>
    <t>Paneles vinilo azul</t>
  </si>
  <si>
    <t>SÑ.S.02.07</t>
  </si>
  <si>
    <t>Vinilos flecha L4</t>
  </si>
  <si>
    <t>SÑ.S.02.08</t>
  </si>
  <si>
    <t>Vinilos tapar flecha L4</t>
  </si>
  <si>
    <t>SÑ.S.02.09</t>
  </si>
  <si>
    <t>Vinilos de lamas L4</t>
  </si>
  <si>
    <t>SÑ.S.02.10</t>
  </si>
  <si>
    <t>Vinilos cabeceras L4</t>
  </si>
  <si>
    <t>Total SÑ.S.02</t>
  </si>
  <si>
    <t>SÑ.S.03</t>
  </si>
  <si>
    <t>PINAR DEL REY</t>
  </si>
  <si>
    <t>SÑ.S.03.01</t>
  </si>
  <si>
    <t>SÑ.S.03.02</t>
  </si>
  <si>
    <t>SÑ.S.03.03</t>
  </si>
  <si>
    <t>SÑ.S.03.04</t>
  </si>
  <si>
    <t>Total SÑ.S.03</t>
  </si>
  <si>
    <t>SÑ.S.04</t>
  </si>
  <si>
    <t>MAR DE CRISTAL</t>
  </si>
  <si>
    <t>SÑ.S.04.01</t>
  </si>
  <si>
    <t>SÑ.S.04.02</t>
  </si>
  <si>
    <t>SÑ.S.04.03</t>
  </si>
  <si>
    <t>SÑ.S.04.04</t>
  </si>
  <si>
    <t>SÑ.S.04.05</t>
  </si>
  <si>
    <t>SÑ.S.04.06</t>
  </si>
  <si>
    <t>SÑ.S.04.07</t>
  </si>
  <si>
    <t>SÑ.S.04.08</t>
  </si>
  <si>
    <t>SÑ.S.04.09</t>
  </si>
  <si>
    <t>SÑ.S.04.10</t>
  </si>
  <si>
    <t>Vinilos de lama L4</t>
  </si>
  <si>
    <t>Total SÑ.S.04</t>
  </si>
  <si>
    <t>Total SÑ.S</t>
  </si>
  <si>
    <t>SÑ.T</t>
  </si>
  <si>
    <t>REALIZACIÓN DE TRABAJOS</t>
  </si>
  <si>
    <t>SÑ.T.01</t>
  </si>
  <si>
    <t>CIERRE DE SERVICIO</t>
  </si>
  <si>
    <t>SÑ.T.01.00</t>
  </si>
  <si>
    <t>Cuadro de aviso en planos</t>
  </si>
  <si>
    <t>SÑ.T.01.01</t>
  </si>
  <si>
    <t>SÑ.T.01.02</t>
  </si>
  <si>
    <t>SÑ.T.01.02.01</t>
  </si>
  <si>
    <t>Vinilos en accesos</t>
  </si>
  <si>
    <t>SÑ.T.01.02.02</t>
  </si>
  <si>
    <t>Paneles PVC en vallas de cierre</t>
  </si>
  <si>
    <t>SÑ.T.01.02.03</t>
  </si>
  <si>
    <t>SÑ.T.01.02.04</t>
  </si>
  <si>
    <t>SÑ.T.01.02.05</t>
  </si>
  <si>
    <t>SÑ.T.01.02.06</t>
  </si>
  <si>
    <t>Vinilos flechas L4</t>
  </si>
  <si>
    <t>SÑ.T.01.02.07</t>
  </si>
  <si>
    <t>Vinilos cabeceras L4 y ascensor</t>
  </si>
  <si>
    <t>SÑ.T.01.02.08</t>
  </si>
  <si>
    <t>Vinilo azul sobre directorios</t>
  </si>
  <si>
    <t>Total SÑ.T.01.02</t>
  </si>
  <si>
    <t>SÑ.T.01.03</t>
  </si>
  <si>
    <t>SÑ.T.01.03.01</t>
  </si>
  <si>
    <t>SÑ.T.01.03.02</t>
  </si>
  <si>
    <t>Paneles PVC en accesos</t>
  </si>
  <si>
    <t>SÑ.T.01.03.03</t>
  </si>
  <si>
    <t>SÑ.T.01.03.04</t>
  </si>
  <si>
    <t>Total SÑ.T.01.03</t>
  </si>
  <si>
    <t>SÑ.T.01.04</t>
  </si>
  <si>
    <t>SÑ.T.01.04.01</t>
  </si>
  <si>
    <t>SÑ.T.01.04.02</t>
  </si>
  <si>
    <t>SÑ.T.01.04.03</t>
  </si>
  <si>
    <t>SÑ.T.01.04.04</t>
  </si>
  <si>
    <t>SÑ.T.01.04.05</t>
  </si>
  <si>
    <t>SÑ.T.01.04.06</t>
  </si>
  <si>
    <t>SÑ.T.01.04.07</t>
  </si>
  <si>
    <t>SÑ.T.01.04.08</t>
  </si>
  <si>
    <t>Total SÑ.T.01.04</t>
  </si>
  <si>
    <t>Total SÑ.T.01</t>
  </si>
  <si>
    <t>SÑ.T.02</t>
  </si>
  <si>
    <t>REAPERTURA DE SERVICIO</t>
  </si>
  <si>
    <t>SÑ.T.02.00</t>
  </si>
  <si>
    <t>SÑ.T.02.01</t>
  </si>
  <si>
    <t>SÑ.T.02.02</t>
  </si>
  <si>
    <t>SÑ.T.02.02.01</t>
  </si>
  <si>
    <t>SÑ.T.02.02.02</t>
  </si>
  <si>
    <t>SÑ.T.02.02.03</t>
  </si>
  <si>
    <t>SÑ.T.02.02.04</t>
  </si>
  <si>
    <t>SÑ.T.02.02.05</t>
  </si>
  <si>
    <t>SÑ.T.02.02.06</t>
  </si>
  <si>
    <t>SÑ.T.02.02.07</t>
  </si>
  <si>
    <t>SÑ.T.02.02.08</t>
  </si>
  <si>
    <t>Total SÑ.T.02.02</t>
  </si>
  <si>
    <t>SÑ.T.02.03</t>
  </si>
  <si>
    <t>SÑ.T.02.03.01</t>
  </si>
  <si>
    <t>SÑ.T.02.03.02</t>
  </si>
  <si>
    <t>SÑ.T.02.03.03</t>
  </si>
  <si>
    <t>SÑ.T.02.03.04</t>
  </si>
  <si>
    <t>Total SÑ.T.02.03</t>
  </si>
  <si>
    <t>SÑ.T.02.04</t>
  </si>
  <si>
    <t>SÑ.T.02.04.01</t>
  </si>
  <si>
    <t>SÑ.T.02.04.02</t>
  </si>
  <si>
    <t>SÑ.T.02.04.03</t>
  </si>
  <si>
    <t>SÑ.T.02.04.04</t>
  </si>
  <si>
    <t>SÑ.T.02.04.05</t>
  </si>
  <si>
    <t>SÑ.T.02.04.06</t>
  </si>
  <si>
    <t>SÑ.T.02.04.07</t>
  </si>
  <si>
    <t>SÑ.T.02.04.08</t>
  </si>
  <si>
    <t>Total SÑ.T.02.04</t>
  </si>
  <si>
    <t>Total SÑ.T.02</t>
  </si>
  <si>
    <t>Total SÑ.T</t>
  </si>
  <si>
    <t>PARTIDA ALZADA PARA ELEMENTOS DE SEÑALETICA A JUSTIFICAR</t>
  </si>
  <si>
    <t>Total 05.03</t>
  </si>
  <si>
    <t>Total 05</t>
  </si>
  <si>
    <t>06</t>
  </si>
  <si>
    <t>INSTALACIONES</t>
  </si>
  <si>
    <t>06.01</t>
  </si>
  <si>
    <t>POZOS DE BOMBEO DE PLUVIALES</t>
  </si>
  <si>
    <t>06.01.01</t>
  </si>
  <si>
    <t>REVISIÓN COMPLETA DEL ESTADO ACTUAL DE LAS INSTALACIONES DEL POZO DE BOMBEO</t>
  </si>
  <si>
    <t>06.01.02</t>
  </si>
  <si>
    <t>DESMONTAJE, REVISIÓN, LIMPIEZA Y POSTERIOR MONTAJE DE EQUIPOS MOTOBOMBA EXISTENTES</t>
  </si>
  <si>
    <t>06.01.03</t>
  </si>
  <si>
    <t>GRUPO MOTOBOMBA DE ACHIQUE PROVISIONAL DE OBRA Y ELEMENTOS AUXILIARES</t>
  </si>
  <si>
    <t>06.01.04</t>
  </si>
  <si>
    <t>ACOMETIDA ELÉCTRICA DESDE CUADRO DE BOMBAS HASTA CUADRO PROVISIONAL DE PROTECCIÓN DE MOTOBOMBA ALIMENTADA DESDE ACOMETIDA NORMAL</t>
  </si>
  <si>
    <t>06.01.05</t>
  </si>
  <si>
    <t>CUADRO ELÉCTRICO PROVISIONAL DE PROTECCIÓN PARA MOTOBOMBA ALIMENTADA DESDE ACOMETIDA NORMAL</t>
  </si>
  <si>
    <t>06.01.06</t>
  </si>
  <si>
    <t>CUADRO ELÉCTRICO PROVISIONAL DE MANDO Y MANIOBRA PARA MOTOBOMBA ALIMENTADA DESDE ACOMETIDA NORMAL</t>
  </si>
  <si>
    <t>06.01.07</t>
  </si>
  <si>
    <t>ACOMETIDA ELÉCTRICA DESDE ACOMETIDA DE SOCORRO HASTA CUADRO PROVISIONAL DE PROTECCIÓN DE MOTOBOMBA ALIMENTADA DESDE ACOM.SOCORRO</t>
  </si>
  <si>
    <t>06.01.08</t>
  </si>
  <si>
    <t>CUADRO ELÉCTRICO PROVISIONAL DE PROTECCIÓN PARA MOTOBOMBA ALIMENTADA DESDE ACOMETIDA DE SOCORRO</t>
  </si>
  <si>
    <t>06.01.09</t>
  </si>
  <si>
    <t>CUADRO ELÉCTRICO PROVISIONAL DE MANDO Y MANIOBRA PARA MOTOBOMBA ALIMENTADA DESDE ACOMETIDA DE SOCORRO</t>
  </si>
  <si>
    <t>06.01.10</t>
  </si>
  <si>
    <t>LIMPIEZA COMPLETA DE LODOS Y RESIDUOS DEL VASO DEL POZO DE BOMBAS</t>
  </si>
  <si>
    <t>06.01.11</t>
  </si>
  <si>
    <t>REVISIÓN COMPLETA DEL ESTADO FINAL DE LAS INSTALACIONES DEL POZO DE BOMBEO, REALIZACIÓN DE PRUEBAS Y PUESTA EN SERVICIO</t>
  </si>
  <si>
    <t>Total 06.01</t>
  </si>
  <si>
    <t>06.02</t>
  </si>
  <si>
    <t>POZOS DE VENTILACIÓN</t>
  </si>
  <si>
    <t>06.02.01</t>
  </si>
  <si>
    <t>ACTUACIONES EN POZOS DE VENTILACIÓN (TIPOLOGÍA "A")</t>
  </si>
  <si>
    <t>REVISIÓN COMPLETA DEL ESTADO ACTUAL DE LAS INSTALACIONES DEL POZO DE VENTILACIÓN</t>
  </si>
  <si>
    <t>ELEMENTOS DE SEÑALIZACIÓN Y PROTECCIÓN PARA C.G.M.P. DE VENTILADORES Y OTROS COMPONENTES</t>
  </si>
  <si>
    <t>REVISIÓN, LIMPIEZA, ENGRASE Y PUESTA A PUNTO DE EQUIPOS DE VENTILACIÓN Y ELEMENTOS AUXILIARES</t>
  </si>
  <si>
    <t>REVISIÓN COMPLETA DEL ESTADO FINAL DE LAS INSTALACIONES DEL POZO DE VENTILACIÓN, REALIZACIÓN DE PRUEBAS Y PUESTA EN SERVICIO</t>
  </si>
  <si>
    <t>Total 06.02.01</t>
  </si>
  <si>
    <t>06.02.02</t>
  </si>
  <si>
    <t>ACTUACIONES EN POZOS DE VENTILACIÓN (TIPOLOGÍA "B")</t>
  </si>
  <si>
    <t>PREPARACIÓN DE INTERIOR DE POZO DE VENTILACIÓN</t>
  </si>
  <si>
    <t>PROTECCIÓN MECÁNICA DE INSTALACIÓN DE COLUMNA SECA EN POZOS DE VENTILACIÓN</t>
  </si>
  <si>
    <t>DESMONTAJE DE VENTILADOR Y ELEMENTOS ASOCIADOS EXISTENTES, CON POSTERIOR MONTAJE</t>
  </si>
  <si>
    <t>DESMONTAJE Y RETIRADA DE SILENCIADOR ACÚSTICO EXISTENTE</t>
  </si>
  <si>
    <t>DESMONTAJE Y RETIRADA DE TRATAMIENTO ACUSTICO FONO-ABSORBENTE EXISTENTE</t>
  </si>
  <si>
    <t>DESMONTAJE DE CONJUNTO DE ÁLABES DIRECTORES, CON POSTERIOR MONTAJE</t>
  </si>
  <si>
    <t>DESMONTAJE Y RETIRADA DE PUERTA ACÚSTICA EXISTENTE</t>
  </si>
  <si>
    <t>DESMONTAJE DE INSTALACIÓN DE ALUMBRADO EXISTENTE, CON POSTERIOR MONTAJE Y REPOSICIÓN</t>
  </si>
  <si>
    <t>DESMONTAJE Y POSTERIOR REPOSICIÓN DE CANALIZACIÓN Y CABLEADO (AS+) PARA ALIMENTACION DE VENTILADOR E INCLINADOR/COMPUERTA</t>
  </si>
  <si>
    <t>DESMONTAJE Y POSTERIOR REPOSICIÓN DE SONDAS Y CANALIZACIÓN Y CABLEADO ELÉCTRICO DE CONTROL (AS)</t>
  </si>
  <si>
    <t>DEMOLICIÓN Y POSTERIOR REPOSICIÓN DE BANCADAS DE VENTILADOR Y SILENCIADOR ACÚSTICO</t>
  </si>
  <si>
    <t>DEMOLICIÓN Y POSTERIOR REPOSICIÓN DE FORJADOS EN SALAS DE VENTILACIÓN</t>
  </si>
  <si>
    <t>DEMOLICIÓN Y POSTERIOR REPOSICIÓN DE TABIQUERÍAS INTERIORES DE FÁBRICA LADRILLO PERFORADO 1/2 PIE</t>
  </si>
  <si>
    <t>DEMOLICIÓN Y POSTERIOR REPOSICIÓN DE TÍMPANO DE FÁBRICA DE LADRILLO PERFORADO DE 1 PIE</t>
  </si>
  <si>
    <t>PROTECCIÓN MECÁNICA DEL SUELO, PARAMENTOS Y EQUIPOS</t>
  </si>
  <si>
    <t>REPOSICIÓN DE ELEMENTOS DE DESAGÜE</t>
  </si>
  <si>
    <t>REPOSICIÓN DE SOLERAS EN SALAS DE VENTILACIÓN</t>
  </si>
  <si>
    <t>IMPERMEABILIZACIÓN CON LÁMINA ANTIHUMEDAD</t>
  </si>
  <si>
    <t>REPOSICIÓN DE SILENCIADOR RECTANGULAR DISIPATIVO PARA UN CAUDAL DE 250.000 M3/H</t>
  </si>
  <si>
    <t>REPOSICIÓN DE TRATAMIENTO ACUSTICO FONOABSORBENTE EN CÁMARA DE REMANSO</t>
  </si>
  <si>
    <t>REPOSICIÓN DE PUERTA ACÚSTICA</t>
  </si>
  <si>
    <t>Total 06.02.02</t>
  </si>
  <si>
    <t>Total 06.02</t>
  </si>
  <si>
    <t>06.03</t>
  </si>
  <si>
    <t>SISTEMA DE ELECTRIFICACIÓN</t>
  </si>
  <si>
    <t>6.3.1</t>
  </si>
  <si>
    <t>TRABAJOS EN ELECTRIFICACIÓN PARA DEJAR FUERA DE SERVICIO EL TRAMO DE OBRAS</t>
  </si>
  <si>
    <t>I40ACX062T</t>
  </si>
  <si>
    <t>Desmontaje barra carril conductor tipo PAC MM-04 ó CR/PER 110R. En horario nocturno túnel.</t>
  </si>
  <si>
    <t>I40AHX045T</t>
  </si>
  <si>
    <t>Despuenteo eléctrico de seccionamiento de catenaria rígida. En horario nocturno túnel</t>
  </si>
  <si>
    <t>I41KWX070T</t>
  </si>
  <si>
    <t>Desconexión de los cables feeder del Centro de Tracción. En horario nocturno túnel.</t>
  </si>
  <si>
    <t>I41SAMX211T</t>
  </si>
  <si>
    <t>Desmontaje del cable de referencia de negativo de seccionador de línea aérea. En horario nocturno túnel</t>
  </si>
  <si>
    <t>I40AUX006T</t>
  </si>
  <si>
    <t>Suministro e instalación de puesta a negativo permanente de catenaria. En horario nocturno túnel</t>
  </si>
  <si>
    <t>Total 6.3.1</t>
  </si>
  <si>
    <t>6.3.2</t>
  </si>
  <si>
    <t>REPOSICIÓN DE TENSIÓN DE TRACCIÓN PARA TRÁNSITO DE TRENES A VELOCIDAD REDUCIDA POR UNA VÍA</t>
  </si>
  <si>
    <t>I41KWX060</t>
  </si>
  <si>
    <t>Modificación del tendido de cables en hastial de túnel de nicho.</t>
  </si>
  <si>
    <t>I40AUX110</t>
  </si>
  <si>
    <t>Modificación de descentramiento y ajuste de la geometria en cantón de catenaria rígida.</t>
  </si>
  <si>
    <t>I40AUX015</t>
  </si>
  <si>
    <t>km</t>
  </si>
  <si>
    <t>Revisión de la geometria e integridad en la instalación de la electrificación con catenaria rígida</t>
  </si>
  <si>
    <t>I40AUX003</t>
  </si>
  <si>
    <t>Revisión con dresina de Metro de Madrid y conductor autorizado.</t>
  </si>
  <si>
    <t>I41XWF010</t>
  </si>
  <si>
    <t>Pruebas finales de las diferentes instalaciones eléctricas</t>
  </si>
  <si>
    <t>I40ACX001T</t>
  </si>
  <si>
    <t>Suministro y montaje de barra de carril tipo CR/PER 110R. En horario nocturno túnel</t>
  </si>
  <si>
    <t>I41KAX003T</t>
  </si>
  <si>
    <t>Suministro e instalación hilo de contacto ovalado de 150 mm² de Cu, en catenaria rígida. En horario nocturno túnel</t>
  </si>
  <si>
    <t>I40AHX050T</t>
  </si>
  <si>
    <t>Puenteo eléctrico y normalización de un conjunto de seccionamiento de aire de catenaria rígida. Horario nocturno.</t>
  </si>
  <si>
    <t>I40AUX026T</t>
  </si>
  <si>
    <t>Desmontaje de la instalación de puesta a negativo. En horario nocturno túnel</t>
  </si>
  <si>
    <t>I41KWX080T</t>
  </si>
  <si>
    <t>Conexión de los cables feeder de Centro de Tracción a catenaria. En horario nocturno túnel.</t>
  </si>
  <si>
    <t>I41SAMX311T</t>
  </si>
  <si>
    <t>Instalación del cable de referencia de negativo de seccionador. En horario nocturno túnel</t>
  </si>
  <si>
    <t>Total 6.3.2</t>
  </si>
  <si>
    <t>6.3.3</t>
  </si>
  <si>
    <t>CORTE DE TRACCIÓN EN ZONA DE OBRA FINALIZADO EL PASO DE TRENES POR UNA VÍA</t>
  </si>
  <si>
    <t>Total 6.3.3</t>
  </si>
  <si>
    <t>6.3.4</t>
  </si>
  <si>
    <t>TRABAJOS EN ELECTRIFICACIÓN PARA LA NORMALIZACIÓN DEL SERVICIO</t>
  </si>
  <si>
    <t>Total 6.3.4</t>
  </si>
  <si>
    <t>Total 06.03</t>
  </si>
  <si>
    <t>06.04</t>
  </si>
  <si>
    <t>COMUNICACIONES</t>
  </si>
  <si>
    <t>ARREGLO ROTURA</t>
  </si>
  <si>
    <t>CAPA FÍSICA</t>
  </si>
  <si>
    <t>168SMFO</t>
  </si>
  <si>
    <t>CABLE 168 FIBRAS ÓPTICAS SM</t>
  </si>
  <si>
    <t>FUSIONES168FO</t>
  </si>
  <si>
    <t>EMPALME POR ARCO DE FUSIÓN</t>
  </si>
  <si>
    <t>SUMINISTRO CABLE 168FO</t>
  </si>
  <si>
    <t>SUMINISTRO 168FO</t>
  </si>
  <si>
    <t>Total 168SMFO</t>
  </si>
  <si>
    <t>64SMFO</t>
  </si>
  <si>
    <t>CABLE 64 FIBRAS ÓPTICAS SM</t>
  </si>
  <si>
    <t>FUSIONES64FO</t>
  </si>
  <si>
    <t>SUMINISTRO CABLE 64FO</t>
  </si>
  <si>
    <t>SUMINISTRO 64FO</t>
  </si>
  <si>
    <t>TORPEDO 64 FO</t>
  </si>
  <si>
    <t>TORPEDO PARA EMPALME 64FO</t>
  </si>
  <si>
    <t>Total 64SMFO</t>
  </si>
  <si>
    <t>16MM_16SMFO</t>
  </si>
  <si>
    <t>CABLE MIXTO 16 FO SM + 16 FO MM</t>
  </si>
  <si>
    <t>FUSIONES16_16FO</t>
  </si>
  <si>
    <t>Total 16MM_16SMFO</t>
  </si>
  <si>
    <t>8MM_8SMFO</t>
  </si>
  <si>
    <t>CABLE MIXTO 8 FO SM + 8 FO MM</t>
  </si>
  <si>
    <t>FUSIONES8_8FO</t>
  </si>
  <si>
    <t>Total 8MM_8SMFO</t>
  </si>
  <si>
    <t>8MMFO</t>
  </si>
  <si>
    <t>CABLE DE 8 FIBRAS ÓPTICAS MULTIMODO</t>
  </si>
  <si>
    <t>INSTALACDEF</t>
  </si>
  <si>
    <t>U</t>
  </si>
  <si>
    <t>REINSTALACIÓN A UBICACIÓN ORIGINAL DE CABLEADO Y ELECRÓNICA</t>
  </si>
  <si>
    <t>Total 8MMFO</t>
  </si>
  <si>
    <t>REP. CABLE RADIANTE</t>
  </si>
  <si>
    <t>REPARACIÓN CABLE RADIANTE DE 1-1/4"</t>
  </si>
  <si>
    <t>REPAR RADIANTE</t>
  </si>
  <si>
    <t>EMPALME DE CABLE RADIANTE</t>
  </si>
  <si>
    <t>PRBRADIANTE</t>
  </si>
  <si>
    <t>PRUEBAS DEL CABLE RADIANTE</t>
  </si>
  <si>
    <t>PRBCOBERTURA</t>
  </si>
  <si>
    <t>PRUEBAS DE COBERTURA VHF</t>
  </si>
  <si>
    <t>SOCUMENTACIÓN</t>
  </si>
  <si>
    <t>DOCUMENTACIÓN SISTEMA RADIANTE</t>
  </si>
  <si>
    <t>Total REP. CABLE RADIANTE</t>
  </si>
  <si>
    <t>Total ARREGLO ROTURA</t>
  </si>
  <si>
    <t>TENDIDO NUEVO</t>
  </si>
  <si>
    <t>168SMFO TENDIDO NUEVO</t>
  </si>
  <si>
    <t>TEND168FO</t>
  </si>
  <si>
    <t>TENDIDO168FO</t>
  </si>
  <si>
    <t>DOCSFO</t>
  </si>
  <si>
    <t>DOCUMENTACIÓN 168FO</t>
  </si>
  <si>
    <t>PRB168FO</t>
  </si>
  <si>
    <t>PRUEBAS</t>
  </si>
  <si>
    <t>Total 168SMFO TENDIDO NUEVO</t>
  </si>
  <si>
    <t>64SMFO TENDIDO NUEVO</t>
  </si>
  <si>
    <t>TEND64FO</t>
  </si>
  <si>
    <t>DOCS64FO</t>
  </si>
  <si>
    <t>DOCUMENTACIÓN 64FO</t>
  </si>
  <si>
    <t>PRB64FO</t>
  </si>
  <si>
    <t>Total 64SMFO TENDIDO NUEVO</t>
  </si>
  <si>
    <t>16MM_16SMFO TENDIDO NUEV</t>
  </si>
  <si>
    <t>SUMINISTRO CABLE 16_16FO</t>
  </si>
  <si>
    <t>SUMINISTRO 16_16FO</t>
  </si>
  <si>
    <t>TEND16_16FO</t>
  </si>
  <si>
    <t>TENDIDO16 + 16 FO</t>
  </si>
  <si>
    <t>DOCS16_16FO</t>
  </si>
  <si>
    <t>DOCUMENTACIÓN 16 + 16FO</t>
  </si>
  <si>
    <t>PRB16_16FO</t>
  </si>
  <si>
    <t>Total 16MM_16SMFO TENDIDO NUEV</t>
  </si>
  <si>
    <t>8MMFO TENDIDO NUEVO</t>
  </si>
  <si>
    <t>SUMINISTRO 8FOMM</t>
  </si>
  <si>
    <t>M</t>
  </si>
  <si>
    <t>SUMINISTRO CABLE 8FO MM</t>
  </si>
  <si>
    <t>REUBICACIÓN</t>
  </si>
  <si>
    <t>REUBICACIÓN DE CABLEADO Y ELECTRÓNICA</t>
  </si>
  <si>
    <t>DOC8FO</t>
  </si>
  <si>
    <t>DOCUMENTACIÓN 8 FO</t>
  </si>
  <si>
    <t>PRB8FO</t>
  </si>
  <si>
    <t>Total 8MMFO TENDIDO NUEVO</t>
  </si>
  <si>
    <t>8MM_8SMFO TENDIDO NUEVO</t>
  </si>
  <si>
    <t>SUMINISTRO 8_8FO</t>
  </si>
  <si>
    <t>SUMINISTRO 8 + 8 FO</t>
  </si>
  <si>
    <t>TEND8_8FO</t>
  </si>
  <si>
    <t>DOCS8_8FO</t>
  </si>
  <si>
    <t>DOCUMENTACIÓN 8 + 8 FO</t>
  </si>
  <si>
    <t>Total 8MM_8SMFO TENDIDO NUEVO</t>
  </si>
  <si>
    <t>Total TENDIDO NUEVO</t>
  </si>
  <si>
    <t>CABLES METROCALL</t>
  </si>
  <si>
    <t>DESINSTALACIÓN Y REINSTALACIÓN</t>
  </si>
  <si>
    <t>CABLEADO Y ELECTRÓNICA</t>
  </si>
  <si>
    <t>CABLEADO Y ELECTRÓNICA METROCALL</t>
  </si>
  <si>
    <t>Total CABLEADO Y ELECTRÓNICA</t>
  </si>
  <si>
    <t>Total CABLES METROCALL</t>
  </si>
  <si>
    <t>PROTECCIÓN CABLEADO</t>
  </si>
  <si>
    <t>PROTECCIÓN DE CABLES EN POZOS O GALERÍAS</t>
  </si>
  <si>
    <t>PROTECCIÓN DE CABLES</t>
  </si>
  <si>
    <t>POZOS Y GALERÍAS</t>
  </si>
  <si>
    <t>Total PROTECCIÓN CABLEADO</t>
  </si>
  <si>
    <t>Total 06.04</t>
  </si>
  <si>
    <t>Total 06</t>
  </si>
  <si>
    <t>07</t>
  </si>
  <si>
    <t xml:space="preserve"> RAMPA Y ACCESO  MAR DE CRISTAL</t>
  </si>
  <si>
    <t>07.01</t>
  </si>
  <si>
    <t>APERTURA RAMPA, ADECUACIÓN TERRENO.</t>
  </si>
  <si>
    <t>07.01.01</t>
  </si>
  <si>
    <t>PROTECCIÓN ARBOLADO</t>
  </si>
  <si>
    <t>07.01.02</t>
  </si>
  <si>
    <t>RETIRADA Y PALETIZADO SOLADO ADOQUINES</t>
  </si>
  <si>
    <t>07.01.03</t>
  </si>
  <si>
    <t>MOVIMIENTO DE TIERRAS</t>
  </si>
  <si>
    <t>07.01.04</t>
  </si>
  <si>
    <t>HORMIGONADO SOLERA RAMPA HORMIGON HA-25/B/20/lla+Qa  DE CENTRAL</t>
  </si>
  <si>
    <t>07.01.05</t>
  </si>
  <si>
    <t>PROTECCIÓN LATERALES CON GEOTEXTIL</t>
  </si>
  <si>
    <t>07.01.06</t>
  </si>
  <si>
    <t>DEMOLICIÓN MURO HORMIGÓN ARMADO ACCESO TÚNEL</t>
  </si>
  <si>
    <t>Total 07.01</t>
  </si>
  <si>
    <t>07.02</t>
  </si>
  <si>
    <t>REPOSICIÓN MURO, RELLENO RAMPA, ACONDICIONAMIENTO EXTERIOR</t>
  </si>
  <si>
    <t>07.02.01</t>
  </si>
  <si>
    <t>HORMIGÓN ARMADO HA / HM-25/20/B IIA O HA / HM-25/20/F/IIA DE CENTRAL CON BOMBEO. INCLUYE ARMADURA. CON CIERRE</t>
  </si>
  <si>
    <t>07.02.02</t>
  </si>
  <si>
    <t>MOVIMIENTO DE TIERRAS RELLENO RAMPA</t>
  </si>
  <si>
    <t>07.02.03</t>
  </si>
  <si>
    <t>ADOQUÍN PREF. e=8cm COLOR</t>
  </si>
  <si>
    <t>07.02.04</t>
  </si>
  <si>
    <t>RETIRADA PROTECCIÓN ARBOLADO</t>
  </si>
  <si>
    <t>07.02.05</t>
  </si>
  <si>
    <t>DEM.M.M.FIRME BASE HORMIGÓN</t>
  </si>
  <si>
    <t>07.02.06</t>
  </si>
  <si>
    <t>PARTIDA ALZADA A  JUSTIFICAR</t>
  </si>
  <si>
    <t>Total 07.02</t>
  </si>
  <si>
    <t>Total 07</t>
  </si>
  <si>
    <t>08</t>
  </si>
  <si>
    <t>GESTIÓN DE MEDIOAMBIENTE</t>
  </si>
  <si>
    <t>08.01</t>
  </si>
  <si>
    <t>CONTENEDOR DE 6 M3 Y TRANSPORTE A VERTEDERO</t>
  </si>
  <si>
    <t>08.02</t>
  </si>
  <si>
    <t>t</t>
  </si>
  <si>
    <t>COSTE DE GESTIÓN DE ESCOMBROS DE CONSTRUCCIÓN</t>
  </si>
  <si>
    <t>08.03</t>
  </si>
  <si>
    <t>CARGA Y TRANSPORTE DE CHATARRA FÉRRICA A GESTOR DE RESIDUOS</t>
  </si>
  <si>
    <t>08.04</t>
  </si>
  <si>
    <t>COSTE DE GESTIÓN DE CHATARRA FÉRRICA</t>
  </si>
  <si>
    <t>Total 08</t>
  </si>
  <si>
    <t>09</t>
  </si>
  <si>
    <t>SEGURIDAD Y SALUD</t>
  </si>
  <si>
    <t>Total 0</t>
  </si>
  <si>
    <t>CANTIDAD</t>
  </si>
  <si>
    <t>PRECIO</t>
  </si>
  <si>
    <t>IMPORTE</t>
  </si>
  <si>
    <t>BASE IMPONIBLE</t>
  </si>
  <si>
    <t>OFERTA LICITADOR</t>
  </si>
  <si>
    <t>TOTAL PRESUPUESTO DE EJECUCIÓN MATERIAL</t>
  </si>
  <si>
    <t xml:space="preserve"> % GASTOS GENERALES</t>
  </si>
  <si>
    <t>[13,00%]</t>
  </si>
  <si>
    <t xml:space="preserve"> % BENEFICIOS INDUSTRIALES</t>
  </si>
  <si>
    <t>[6,00%]</t>
  </si>
  <si>
    <t>IMPORTE IVA</t>
  </si>
  <si>
    <t>[21,00%]</t>
  </si>
  <si>
    <t>TOTAL OFERTA CON IVA</t>
  </si>
  <si>
    <t>NOMBRE EMPRESA /
RAZÓN SOCIAL</t>
  </si>
  <si>
    <t>FECHA</t>
  </si>
  <si>
    <t>DOMICILIO FISCAL</t>
  </si>
  <si>
    <t>SELLO</t>
  </si>
  <si>
    <t>CIF</t>
  </si>
  <si>
    <t>FIRMA</t>
  </si>
  <si>
    <t>NOTAS</t>
  </si>
  <si>
    <r>
      <rPr>
        <b/>
        <i/>
        <sz val="10"/>
        <color rgb="FFFF0000"/>
        <rFont val="Calibri"/>
        <family val="2"/>
        <scheme val="minor"/>
      </rPr>
      <t xml:space="preserve">* </t>
    </r>
    <r>
      <rPr>
        <b/>
        <i/>
        <sz val="10"/>
        <color theme="1"/>
        <rFont val="Calibri"/>
        <family val="2"/>
        <scheme val="minor"/>
      </rPr>
      <t>El importe de las partidas alzadas no podrá verse modificado en la oferta presentada respecto al importe de licitación.</t>
    </r>
  </si>
  <si>
    <r>
      <rPr>
        <b/>
        <i/>
        <sz val="10"/>
        <color rgb="FFFF0000"/>
        <rFont val="Calibri"/>
        <family val="2"/>
        <scheme val="minor"/>
      </rPr>
      <t xml:space="preserve">** </t>
    </r>
    <r>
      <rPr>
        <b/>
        <i/>
        <sz val="10"/>
        <color theme="1"/>
        <rFont val="Calibri"/>
        <family val="2"/>
        <scheme val="minor"/>
      </rPr>
      <t>El precio ofertado en cada una de las unidades no puede superar el precio unitario de licitación, a excepción del importe correspondiente al capítulo de Seguridad y Salud que podrá modificarse en los términos establecidos en el R.D. 1627/97.  </t>
    </r>
  </si>
  <si>
    <r>
      <rPr>
        <b/>
        <i/>
        <sz val="10"/>
        <color rgb="FFFF0000"/>
        <rFont val="Calibri"/>
        <family val="2"/>
        <scheme val="minor"/>
      </rPr>
      <t>***</t>
    </r>
    <r>
      <rPr>
        <b/>
        <i/>
        <sz val="10"/>
        <color theme="1"/>
        <rFont val="Calibri"/>
        <family val="2"/>
        <scheme val="minor"/>
      </rPr>
      <t>El sumatorio del total correspondiente a la celda presupuesto total de la oferta no puede superar el valor de la BASE IMPONIBLE de licitación.</t>
    </r>
  </si>
  <si>
    <r>
      <rPr>
        <b/>
        <i/>
        <sz val="10"/>
        <color rgb="FFFF0000"/>
        <rFont val="Calibri"/>
        <family val="2"/>
        <scheme val="minor"/>
      </rPr>
      <t>****</t>
    </r>
    <r>
      <rPr>
        <b/>
        <i/>
        <sz val="10"/>
        <color theme="1"/>
        <rFont val="Calibri"/>
        <family val="2"/>
        <scheme val="minor"/>
      </rPr>
      <t>El importe de la celda “BASE IMPONIBLE” debe incluir el importe correspondiente a las celdas “Beneficio industrial” y “Gastos Generales”, no siendo válidas las ofertas que no tengan todas las celdas mencionadas anteriormente debidamente cumplimentadas.</t>
    </r>
  </si>
  <si>
    <t>DESMONTAJE MEMBRANA DRENANTE Y FIJACIONES</t>
  </si>
  <si>
    <t>IMPERMEABILIZACIÓN CON LAMA FV Y RESINAS DE POLIÉSTER EN TÚNEL</t>
  </si>
  <si>
    <t>IMPERMEABILIZACIÓN CON LAMA FV Y RESINAS DE POLIÉSTER EN TÚNEL (EXPLOTACIÓN FS. NOCTURNO)</t>
  </si>
  <si>
    <t xml:space="preserve">IMPERMEABILIZACÓN CON LAMA FV Y RESINAS DE POLIÉSTER EN TÚNEL TIPO CAZOLETA </t>
  </si>
  <si>
    <t xml:space="preserve">PARTIDA ALZADA RECONDUCCIÓN DE FILTRACIONES </t>
  </si>
  <si>
    <t>04.02</t>
  </si>
  <si>
    <t>04.03</t>
  </si>
  <si>
    <t>04.04</t>
  </si>
  <si>
    <t>04.06</t>
  </si>
  <si>
    <t>04.05</t>
  </si>
  <si>
    <t>03.03.01</t>
  </si>
  <si>
    <t>03.03.02</t>
  </si>
  <si>
    <t>03.03.03</t>
  </si>
  <si>
    <t>03.03.04</t>
  </si>
  <si>
    <t>06.02.01.01</t>
  </si>
  <si>
    <t>06.02.01.02</t>
  </si>
  <si>
    <t>06.02.01.03</t>
  </si>
  <si>
    <t>06.02.01.04</t>
  </si>
  <si>
    <t>06.02.02.01</t>
  </si>
  <si>
    <t>06.02.02.02</t>
  </si>
  <si>
    <t>06.02.02.03</t>
  </si>
  <si>
    <t>06.02.02.04</t>
  </si>
  <si>
    <t>06.02.02.05</t>
  </si>
  <si>
    <t>06.02.02.06</t>
  </si>
  <si>
    <t>06.02.02.07</t>
  </si>
  <si>
    <t>06.02.02.08</t>
  </si>
  <si>
    <t>06.02.02.09</t>
  </si>
  <si>
    <t>06.02.02.10</t>
  </si>
  <si>
    <t>06.02.02.11</t>
  </si>
  <si>
    <t>06.02.02.12</t>
  </si>
  <si>
    <t>06.02.02.13</t>
  </si>
  <si>
    <t>06.02.02.14</t>
  </si>
  <si>
    <t>06.02.02.15</t>
  </si>
  <si>
    <t>06.02.02.16</t>
  </si>
  <si>
    <t>06.02.02.17</t>
  </si>
  <si>
    <t>06.02.02.18</t>
  </si>
  <si>
    <t>06.02.02.19</t>
  </si>
  <si>
    <t>06.02.02.20</t>
  </si>
  <si>
    <t>06.02.02.21</t>
  </si>
  <si>
    <t>06.02.02.22</t>
  </si>
  <si>
    <t>06.02.02.23</t>
  </si>
  <si>
    <t>06.02.02.24</t>
  </si>
  <si>
    <t>06.02.02.25</t>
  </si>
  <si>
    <t>03.01.04.01</t>
  </si>
  <si>
    <t>EJECUCIÓN DE SOLDADURA ALUMINOTÉRMICA EN CARRIL. DIURNO</t>
  </si>
  <si>
    <t>IMPERMEABILIZACIÓN CON LAMA FV Y RESINAS DE POLIÉSTER EN TÚNEL TIPO CAZOLETA (EXPLOTACIÓN FS.NOCTURNO)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</si>
</sst>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4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9" fillId="4" borderId="0" xfId="0" applyFont="1" applyFill="1" applyAlignment="1">
      <alignment vertical="top"/>
    </xf>
    <xf numFmtId="0" fontId="9" fillId="4" borderId="0" xfId="0" applyFont="1" applyFill="1" applyAlignment="1">
      <alignment vertical="top" wrapText="1"/>
    </xf>
    <xf numFmtId="0" fontId="6" fillId="0" borderId="18" xfId="0" applyFont="1" applyBorder="1" applyAlignment="1">
      <alignment vertical="top"/>
    </xf>
    <xf numFmtId="0" fontId="6" fillId="0" borderId="19" xfId="0" applyFont="1" applyBorder="1" applyAlignment="1">
      <alignment vertical="top"/>
    </xf>
    <xf numFmtId="4" fontId="3" fillId="12" borderId="1" xfId="0" applyNumberFormat="1" applyFont="1" applyFill="1" applyBorder="1" applyAlignment="1" applyProtection="1">
      <alignment horizontal="center" vertical="center"/>
    </xf>
    <xf numFmtId="4" fontId="3" fillId="12" borderId="11" xfId="0" applyNumberFormat="1" applyFont="1" applyFill="1" applyBorder="1" applyAlignment="1" applyProtection="1">
      <alignment horizontal="center" vertical="center"/>
    </xf>
    <xf numFmtId="4" fontId="3" fillId="12" borderId="10" xfId="0" applyNumberFormat="1" applyFont="1" applyFill="1" applyBorder="1" applyAlignment="1" applyProtection="1">
      <alignment horizontal="center" vertical="center"/>
    </xf>
    <xf numFmtId="4" fontId="3" fillId="13" borderId="12" xfId="0" applyNumberFormat="1" applyFont="1" applyFill="1" applyBorder="1" applyAlignment="1" applyProtection="1">
      <alignment horizontal="center" vertical="center"/>
    </xf>
    <xf numFmtId="9" fontId="3" fillId="13" borderId="5" xfId="1" applyFont="1" applyFill="1" applyBorder="1" applyAlignment="1" applyProtection="1">
      <alignment horizontal="center" vertical="center"/>
    </xf>
    <xf numFmtId="4" fontId="3" fillId="13" borderId="6" xfId="0" applyNumberFormat="1" applyFont="1" applyFill="1" applyBorder="1" applyAlignment="1" applyProtection="1">
      <alignment horizontal="center" vertical="center"/>
    </xf>
    <xf numFmtId="4" fontId="3" fillId="13" borderId="13" xfId="0" applyNumberFormat="1" applyFont="1" applyFill="1" applyBorder="1" applyAlignment="1" applyProtection="1">
      <alignment horizontal="center" vertical="center"/>
    </xf>
    <xf numFmtId="9" fontId="3" fillId="13" borderId="7" xfId="1" applyFont="1" applyFill="1" applyBorder="1" applyAlignment="1" applyProtection="1">
      <alignment horizontal="center" vertical="center"/>
    </xf>
    <xf numFmtId="4" fontId="3" fillId="13" borderId="9" xfId="0" applyNumberFormat="1" applyFont="1" applyFill="1" applyBorder="1" applyAlignment="1" applyProtection="1">
      <alignment horizontal="center" vertical="center"/>
    </xf>
    <xf numFmtId="4" fontId="12" fillId="11" borderId="13" xfId="0" applyNumberFormat="1" applyFont="1" applyFill="1" applyBorder="1" applyAlignment="1" applyProtection="1">
      <alignment horizontal="center" vertical="center"/>
    </xf>
    <xf numFmtId="0" fontId="13" fillId="13" borderId="14" xfId="0" applyFont="1" applyFill="1" applyBorder="1" applyAlignment="1" applyProtection="1">
      <alignment horizontal="center" vertical="center" wrapText="1"/>
    </xf>
    <xf numFmtId="0" fontId="13" fillId="13" borderId="8" xfId="0" applyFont="1" applyFill="1" applyBorder="1" applyAlignment="1" applyProtection="1">
      <alignment horizontal="center" vertical="center" wrapText="1"/>
    </xf>
    <xf numFmtId="0" fontId="3" fillId="12" borderId="1" xfId="0" applyFont="1" applyFill="1" applyBorder="1" applyAlignment="1" applyProtection="1">
      <alignment vertical="center" wrapText="1"/>
    </xf>
    <xf numFmtId="9" fontId="3" fillId="13" borderId="12" xfId="0" applyNumberFormat="1" applyFont="1" applyFill="1" applyBorder="1" applyAlignment="1" applyProtection="1">
      <alignment vertical="center" wrapText="1"/>
    </xf>
    <xf numFmtId="9" fontId="3" fillId="13" borderId="13" xfId="0" applyNumberFormat="1" applyFont="1" applyFill="1" applyBorder="1" applyAlignment="1" applyProtection="1">
      <alignment vertical="center" wrapText="1"/>
    </xf>
    <xf numFmtId="0" fontId="12" fillId="11" borderId="12" xfId="0" applyFont="1" applyFill="1" applyBorder="1" applyAlignment="1" applyProtection="1">
      <alignment vertical="center" wrapText="1"/>
    </xf>
    <xf numFmtId="4" fontId="12" fillId="11" borderId="1" xfId="0" applyNumberFormat="1" applyFont="1" applyFill="1" applyBorder="1" applyAlignment="1" applyProtection="1">
      <alignment horizontal="center" vertical="center"/>
    </xf>
    <xf numFmtId="0" fontId="12" fillId="11" borderId="11" xfId="0" applyFont="1" applyFill="1" applyBorder="1" applyAlignment="1" applyProtection="1">
      <alignment horizontal="center" vertical="center"/>
    </xf>
    <xf numFmtId="4" fontId="12" fillId="11" borderId="10" xfId="0" applyNumberFormat="1" applyFont="1" applyFill="1" applyBorder="1" applyAlignment="1" applyProtection="1">
      <alignment horizontal="center" vertical="center"/>
    </xf>
    <xf numFmtId="4" fontId="12" fillId="11" borderId="11" xfId="0" applyNumberFormat="1" applyFont="1" applyFill="1" applyBorder="1" applyAlignment="1" applyProtection="1">
      <alignment horizontal="center" vertical="center"/>
    </xf>
    <xf numFmtId="0" fontId="12" fillId="11" borderId="1" xfId="0" applyFont="1" applyFill="1" applyBorder="1" applyAlignment="1" applyProtection="1">
      <alignment vertical="center" wrapText="1"/>
    </xf>
    <xf numFmtId="10" fontId="12" fillId="11" borderId="11" xfId="1" applyNumberFormat="1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/>
    </xf>
    <xf numFmtId="10" fontId="12" fillId="14" borderId="17" xfId="1" applyNumberFormat="1" applyFont="1" applyFill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vertical="top"/>
    </xf>
    <xf numFmtId="3" fontId="8" fillId="2" borderId="21" xfId="0" applyNumberFormat="1" applyFont="1" applyFill="1" applyBorder="1" applyAlignment="1">
      <alignment vertical="top"/>
    </xf>
    <xf numFmtId="4" fontId="8" fillId="2" borderId="0" xfId="0" applyNumberFormat="1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4" fontId="9" fillId="0" borderId="21" xfId="0" applyNumberFormat="1" applyFont="1" applyBorder="1" applyAlignment="1">
      <alignment vertical="top"/>
    </xf>
    <xf numFmtId="4" fontId="9" fillId="0" borderId="0" xfId="0" applyNumberFormat="1" applyFont="1" applyBorder="1" applyAlignment="1">
      <alignment vertical="top"/>
    </xf>
    <xf numFmtId="4" fontId="10" fillId="0" borderId="22" xfId="0" applyNumberFormat="1" applyFont="1" applyBorder="1" applyAlignment="1">
      <alignment vertical="top"/>
    </xf>
    <xf numFmtId="3" fontId="9" fillId="0" borderId="21" xfId="0" applyNumberFormat="1" applyFont="1" applyBorder="1" applyAlignment="1">
      <alignment vertical="top"/>
    </xf>
    <xf numFmtId="4" fontId="8" fillId="0" borderId="0" xfId="0" applyNumberFormat="1" applyFont="1" applyBorder="1" applyAlignment="1">
      <alignment vertical="top"/>
    </xf>
    <xf numFmtId="4" fontId="8" fillId="0" borderId="22" xfId="0" applyNumberFormat="1" applyFont="1" applyBorder="1" applyAlignment="1">
      <alignment vertical="top"/>
    </xf>
    <xf numFmtId="0" fontId="9" fillId="4" borderId="21" xfId="0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22" xfId="0" applyFont="1" applyFill="1" applyBorder="1" applyAlignment="1">
      <alignment vertical="top"/>
    </xf>
    <xf numFmtId="4" fontId="8" fillId="5" borderId="21" xfId="0" applyNumberFormat="1" applyFont="1" applyFill="1" applyBorder="1" applyAlignment="1">
      <alignment vertical="top"/>
    </xf>
    <xf numFmtId="4" fontId="8" fillId="5" borderId="0" xfId="0" applyNumberFormat="1" applyFont="1" applyFill="1" applyBorder="1" applyAlignment="1">
      <alignment vertical="top"/>
    </xf>
    <xf numFmtId="4" fontId="8" fillId="5" borderId="22" xfId="0" applyNumberFormat="1" applyFont="1" applyFill="1" applyBorder="1" applyAlignment="1">
      <alignment vertical="top"/>
    </xf>
    <xf numFmtId="4" fontId="7" fillId="5" borderId="21" xfId="0" applyNumberFormat="1" applyFont="1" applyFill="1" applyBorder="1" applyAlignment="1">
      <alignment vertical="top"/>
    </xf>
    <xf numFmtId="4" fontId="7" fillId="5" borderId="0" xfId="0" applyNumberFormat="1" applyFont="1" applyFill="1" applyBorder="1" applyAlignment="1">
      <alignment vertical="top"/>
    </xf>
    <xf numFmtId="4" fontId="8" fillId="6" borderId="21" xfId="0" applyNumberFormat="1" applyFont="1" applyFill="1" applyBorder="1" applyAlignment="1">
      <alignment vertical="top"/>
    </xf>
    <xf numFmtId="4" fontId="8" fillId="6" borderId="0" xfId="0" applyNumberFormat="1" applyFont="1" applyFill="1" applyBorder="1" applyAlignment="1">
      <alignment vertical="top"/>
    </xf>
    <xf numFmtId="4" fontId="8" fillId="6" borderId="22" xfId="0" applyNumberFormat="1" applyFont="1" applyFill="1" applyBorder="1" applyAlignment="1">
      <alignment vertical="top"/>
    </xf>
    <xf numFmtId="4" fontId="9" fillId="14" borderId="0" xfId="0" applyNumberFormat="1" applyFont="1" applyFill="1" applyBorder="1" applyAlignment="1">
      <alignment vertical="top"/>
    </xf>
    <xf numFmtId="4" fontId="8" fillId="7" borderId="21" xfId="0" applyNumberFormat="1" applyFont="1" applyFill="1" applyBorder="1" applyAlignment="1">
      <alignment vertical="top"/>
    </xf>
    <xf numFmtId="4" fontId="8" fillId="7" borderId="0" xfId="0" applyNumberFormat="1" applyFont="1" applyFill="1" applyBorder="1" applyAlignment="1">
      <alignment vertical="top"/>
    </xf>
    <xf numFmtId="4" fontId="8" fillId="7" borderId="22" xfId="0" applyNumberFormat="1" applyFont="1" applyFill="1" applyBorder="1" applyAlignment="1">
      <alignment vertical="top"/>
    </xf>
    <xf numFmtId="4" fontId="8" fillId="8" borderId="21" xfId="0" applyNumberFormat="1" applyFont="1" applyFill="1" applyBorder="1" applyAlignment="1">
      <alignment vertical="top"/>
    </xf>
    <xf numFmtId="4" fontId="8" fillId="8" borderId="0" xfId="0" applyNumberFormat="1" applyFont="1" applyFill="1" applyBorder="1" applyAlignment="1">
      <alignment vertical="top"/>
    </xf>
    <xf numFmtId="4" fontId="8" fillId="8" borderId="22" xfId="0" applyNumberFormat="1" applyFont="1" applyFill="1" applyBorder="1" applyAlignment="1">
      <alignment vertical="top"/>
    </xf>
    <xf numFmtId="3" fontId="7" fillId="2" borderId="21" xfId="0" applyNumberFormat="1" applyFont="1" applyFill="1" applyBorder="1" applyAlignment="1">
      <alignment vertical="top"/>
    </xf>
    <xf numFmtId="4" fontId="7" fillId="2" borderId="0" xfId="0" applyNumberFormat="1" applyFont="1" applyFill="1" applyBorder="1" applyAlignment="1">
      <alignment vertical="top"/>
    </xf>
    <xf numFmtId="3" fontId="9" fillId="0" borderId="23" xfId="0" applyNumberFormat="1" applyFont="1" applyBorder="1" applyAlignment="1">
      <alignment vertical="top"/>
    </xf>
    <xf numFmtId="4" fontId="8" fillId="0" borderId="24" xfId="0" applyNumberFormat="1" applyFont="1" applyBorder="1" applyAlignment="1">
      <alignment vertical="top"/>
    </xf>
    <xf numFmtId="4" fontId="8" fillId="0" borderId="25" xfId="0" applyNumberFormat="1" applyFont="1" applyBorder="1" applyAlignment="1">
      <alignment vertical="top"/>
    </xf>
    <xf numFmtId="0" fontId="6" fillId="0" borderId="20" xfId="0" applyFont="1" applyBorder="1" applyAlignment="1">
      <alignment vertical="top" wrapText="1"/>
    </xf>
    <xf numFmtId="49" fontId="7" fillId="2" borderId="21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49" fontId="7" fillId="2" borderId="22" xfId="0" applyNumberFormat="1" applyFont="1" applyFill="1" applyBorder="1" applyAlignment="1">
      <alignment vertical="top" wrapText="1"/>
    </xf>
    <xf numFmtId="49" fontId="9" fillId="3" borderId="21" xfId="0" applyNumberFormat="1" applyFont="1" applyFill="1" applyBorder="1" applyAlignment="1">
      <alignment vertical="top"/>
    </xf>
    <xf numFmtId="49" fontId="9" fillId="0" borderId="0" xfId="0" applyNumberFormat="1" applyFont="1" applyBorder="1" applyAlignment="1">
      <alignment vertical="top"/>
    </xf>
    <xf numFmtId="49" fontId="9" fillId="0" borderId="22" xfId="0" applyNumberFormat="1" applyFont="1" applyBorder="1" applyAlignment="1">
      <alignment vertical="top" wrapText="1"/>
    </xf>
    <xf numFmtId="0" fontId="9" fillId="0" borderId="21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49" fontId="7" fillId="0" borderId="22" xfId="0" applyNumberFormat="1" applyFont="1" applyBorder="1" applyAlignment="1">
      <alignment vertical="top" wrapText="1"/>
    </xf>
    <xf numFmtId="0" fontId="9" fillId="4" borderId="22" xfId="0" applyFont="1" applyFill="1" applyBorder="1" applyAlignment="1">
      <alignment vertical="top" wrapText="1"/>
    </xf>
    <xf numFmtId="49" fontId="7" fillId="5" borderId="21" xfId="0" applyNumberFormat="1" applyFont="1" applyFill="1" applyBorder="1" applyAlignment="1">
      <alignment vertical="top"/>
    </xf>
    <xf numFmtId="49" fontId="7" fillId="5" borderId="0" xfId="0" applyNumberFormat="1" applyFont="1" applyFill="1" applyBorder="1" applyAlignment="1">
      <alignment vertical="top"/>
    </xf>
    <xf numFmtId="49" fontId="7" fillId="5" borderId="22" xfId="0" applyNumberFormat="1" applyFont="1" applyFill="1" applyBorder="1" applyAlignment="1">
      <alignment vertical="top" wrapText="1"/>
    </xf>
    <xf numFmtId="49" fontId="7" fillId="6" borderId="21" xfId="0" applyNumberFormat="1" applyFont="1" applyFill="1" applyBorder="1" applyAlignment="1">
      <alignment vertical="top"/>
    </xf>
    <xf numFmtId="49" fontId="7" fillId="6" borderId="0" xfId="0" applyNumberFormat="1" applyFont="1" applyFill="1" applyBorder="1" applyAlignment="1">
      <alignment vertical="top"/>
    </xf>
    <xf numFmtId="49" fontId="7" fillId="6" borderId="22" xfId="0" applyNumberFormat="1" applyFont="1" applyFill="1" applyBorder="1" applyAlignment="1">
      <alignment vertical="top" wrapText="1"/>
    </xf>
    <xf numFmtId="49" fontId="7" fillId="7" borderId="21" xfId="0" applyNumberFormat="1" applyFont="1" applyFill="1" applyBorder="1" applyAlignment="1">
      <alignment vertical="top"/>
    </xf>
    <xf numFmtId="49" fontId="7" fillId="7" borderId="0" xfId="0" applyNumberFormat="1" applyFont="1" applyFill="1" applyBorder="1" applyAlignment="1">
      <alignment vertical="top"/>
    </xf>
    <xf numFmtId="49" fontId="7" fillId="7" borderId="22" xfId="0" applyNumberFormat="1" applyFont="1" applyFill="1" applyBorder="1" applyAlignment="1">
      <alignment vertical="top" wrapText="1"/>
    </xf>
    <xf numFmtId="49" fontId="7" fillId="8" borderId="21" xfId="0" applyNumberFormat="1" applyFont="1" applyFill="1" applyBorder="1" applyAlignment="1">
      <alignment vertical="top"/>
    </xf>
    <xf numFmtId="49" fontId="7" fillId="8" borderId="0" xfId="0" applyNumberFormat="1" applyFont="1" applyFill="1" applyBorder="1" applyAlignment="1">
      <alignment vertical="top"/>
    </xf>
    <xf numFmtId="49" fontId="7" fillId="8" borderId="22" xfId="0" applyNumberFormat="1" applyFont="1" applyFill="1" applyBorder="1" applyAlignment="1">
      <alignment vertical="top" wrapText="1"/>
    </xf>
    <xf numFmtId="0" fontId="9" fillId="0" borderId="26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49" fontId="7" fillId="0" borderId="27" xfId="0" applyNumberFormat="1" applyFont="1" applyBorder="1" applyAlignment="1">
      <alignment vertical="top" wrapText="1"/>
    </xf>
    <xf numFmtId="4" fontId="9" fillId="0" borderId="0" xfId="0" applyNumberFormat="1" applyFont="1" applyBorder="1" applyAlignment="1" applyProtection="1">
      <alignment horizontal="center" vertical="center"/>
      <protection locked="0"/>
    </xf>
    <xf numFmtId="4" fontId="8" fillId="0" borderId="0" xfId="0" applyNumberFormat="1" applyFont="1" applyBorder="1" applyAlignment="1" applyProtection="1">
      <alignment vertical="top"/>
    </xf>
    <xf numFmtId="4" fontId="8" fillId="2" borderId="0" xfId="0" applyNumberFormat="1" applyFont="1" applyFill="1" applyBorder="1" applyAlignment="1" applyProtection="1">
      <alignment vertical="top"/>
    </xf>
    <xf numFmtId="4" fontId="8" fillId="5" borderId="0" xfId="0" applyNumberFormat="1" applyFont="1" applyFill="1" applyBorder="1" applyAlignment="1" applyProtection="1">
      <alignment vertical="top"/>
    </xf>
    <xf numFmtId="4" fontId="9" fillId="0" borderId="0" xfId="0" applyNumberFormat="1" applyFont="1" applyBorder="1" applyAlignment="1" applyProtection="1">
      <alignment vertical="top"/>
    </xf>
    <xf numFmtId="4" fontId="7" fillId="5" borderId="0" xfId="0" applyNumberFormat="1" applyFont="1" applyFill="1" applyBorder="1" applyAlignment="1" applyProtection="1">
      <alignment vertical="top"/>
    </xf>
    <xf numFmtId="4" fontId="8" fillId="6" borderId="0" xfId="0" applyNumberFormat="1" applyFont="1" applyFill="1" applyBorder="1" applyAlignment="1" applyProtection="1">
      <alignment vertical="top"/>
    </xf>
    <xf numFmtId="4" fontId="8" fillId="7" borderId="0" xfId="0" applyNumberFormat="1" applyFont="1" applyFill="1" applyBorder="1" applyAlignment="1" applyProtection="1">
      <alignment vertical="top"/>
    </xf>
    <xf numFmtId="4" fontId="8" fillId="8" borderId="0" xfId="0" applyNumberFormat="1" applyFont="1" applyFill="1" applyBorder="1" applyAlignment="1" applyProtection="1">
      <alignment vertical="top"/>
    </xf>
    <xf numFmtId="4" fontId="8" fillId="0" borderId="24" xfId="0" applyNumberFormat="1" applyFont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/>
      <protection locked="0"/>
    </xf>
    <xf numFmtId="49" fontId="9" fillId="0" borderId="22" xfId="0" applyNumberFormat="1" applyFont="1" applyBorder="1" applyAlignment="1" applyProtection="1">
      <alignment vertical="top" wrapText="1"/>
    </xf>
    <xf numFmtId="10" fontId="12" fillId="14" borderId="7" xfId="1" applyNumberFormat="1" applyFont="1" applyFill="1" applyBorder="1" applyAlignment="1" applyProtection="1">
      <alignment horizontal="center" vertical="center"/>
      <protection locked="0"/>
    </xf>
    <xf numFmtId="4" fontId="7" fillId="2" borderId="0" xfId="0" applyNumberFormat="1" applyFont="1" applyFill="1" applyBorder="1" applyAlignment="1" applyProtection="1">
      <alignment vertical="top"/>
      <protection locked="0"/>
    </xf>
    <xf numFmtId="0" fontId="6" fillId="12" borderId="0" xfId="0" applyFont="1" applyFill="1" applyBorder="1" applyAlignment="1" applyProtection="1">
      <alignment horizontal="left" vertical="center" wrapText="1"/>
    </xf>
    <xf numFmtId="0" fontId="6" fillId="12" borderId="6" xfId="0" applyFont="1" applyFill="1" applyBorder="1" applyAlignment="1" applyProtection="1">
      <alignment horizontal="left" vertical="center" wrapText="1"/>
    </xf>
    <xf numFmtId="0" fontId="2" fillId="9" borderId="2" xfId="0" applyFont="1" applyFill="1" applyBorder="1" applyAlignment="1" applyProtection="1">
      <alignment horizontal="center" vertical="center"/>
    </xf>
    <xf numFmtId="0" fontId="2" fillId="9" borderId="3" xfId="0" applyFont="1" applyFill="1" applyBorder="1" applyAlignment="1" applyProtection="1">
      <alignment horizontal="center" vertical="center"/>
    </xf>
    <xf numFmtId="0" fontId="2" fillId="9" borderId="4" xfId="0" applyFont="1" applyFill="1" applyBorder="1" applyAlignment="1" applyProtection="1">
      <alignment horizontal="center" vertical="center"/>
    </xf>
    <xf numFmtId="0" fontId="2" fillId="10" borderId="2" xfId="0" applyFont="1" applyFill="1" applyBorder="1" applyAlignment="1" applyProtection="1">
      <alignment horizontal="center" vertical="center"/>
    </xf>
    <xf numFmtId="0" fontId="2" fillId="10" borderId="3" xfId="0" applyFont="1" applyFill="1" applyBorder="1" applyAlignment="1" applyProtection="1">
      <alignment horizontal="center" vertical="center"/>
    </xf>
    <xf numFmtId="0" fontId="2" fillId="10" borderId="4" xfId="0" applyFont="1" applyFill="1" applyBorder="1" applyAlignment="1" applyProtection="1">
      <alignment horizontal="center" vertical="center"/>
    </xf>
    <xf numFmtId="0" fontId="4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3" fillId="13" borderId="2" xfId="0" applyFont="1" applyFill="1" applyBorder="1" applyAlignment="1" applyProtection="1">
      <alignment horizontal="center" vertical="center" wrapText="1"/>
    </xf>
    <xf numFmtId="0" fontId="3" fillId="13" borderId="3" xfId="0" applyFont="1" applyFill="1" applyBorder="1" applyAlignment="1" applyProtection="1">
      <alignment horizontal="center" vertical="center" wrapText="1"/>
    </xf>
    <xf numFmtId="0" fontId="3" fillId="13" borderId="5" xfId="0" applyFont="1" applyFill="1" applyBorder="1" applyAlignment="1" applyProtection="1">
      <alignment horizontal="center" vertical="center" wrapText="1"/>
    </xf>
    <xf numFmtId="0" fontId="3" fillId="13" borderId="0" xfId="0" applyFont="1" applyFill="1" applyBorder="1" applyAlignment="1" applyProtection="1">
      <alignment horizontal="center" vertical="center" wrapText="1"/>
    </xf>
    <xf numFmtId="0" fontId="3" fillId="13" borderId="7" xfId="0" applyFont="1" applyFill="1" applyBorder="1" applyAlignment="1" applyProtection="1">
      <alignment horizontal="center" vertical="center" wrapText="1"/>
    </xf>
    <xf numFmtId="0" fontId="3" fillId="13" borderId="8" xfId="0" applyFont="1" applyFill="1" applyBorder="1" applyAlignment="1" applyProtection="1">
      <alignment horizontal="center" vertical="center" wrapText="1"/>
    </xf>
    <xf numFmtId="0" fontId="13" fillId="13" borderId="15" xfId="0" applyFont="1" applyFill="1" applyBorder="1" applyAlignment="1" applyProtection="1">
      <alignment horizontal="center" vertical="center" wrapText="1"/>
    </xf>
    <xf numFmtId="0" fontId="13" fillId="13" borderId="16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6" fillId="12" borderId="8" xfId="0" applyFont="1" applyFill="1" applyBorder="1" applyAlignment="1" applyProtection="1">
      <alignment horizontal="left" vertical="center" wrapText="1"/>
    </xf>
    <xf numFmtId="0" fontId="6" fillId="12" borderId="9" xfId="0" applyFont="1" applyFill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center" vertical="center"/>
      <protection locked="0"/>
    </xf>
    <xf numFmtId="0" fontId="6" fillId="12" borderId="3" xfId="0" applyFont="1" applyFill="1" applyBorder="1" applyAlignment="1" applyProtection="1">
      <alignment horizontal="left" vertical="center" wrapText="1"/>
    </xf>
    <xf numFmtId="0" fontId="6" fillId="12" borderId="4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orcentaje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ABC81-C1AD-4554-8743-6C890ED79A6E}">
  <dimension ref="A1:K478"/>
  <sheetViews>
    <sheetView tabSelected="1" zoomScale="115" zoomScaleNormal="115" workbookViewId="0">
      <pane xSplit="3" ySplit="3" topLeftCell="D436" activePane="bottomRight" state="frozen"/>
      <selection pane="topRight" activeCell="E1" sqref="E1"/>
      <selection pane="bottomLeft" activeCell="A4" sqref="A4"/>
      <selection pane="bottomRight" activeCell="H439" sqref="H439"/>
    </sheetView>
  </sheetViews>
  <sheetFormatPr baseColWidth="10" defaultRowHeight="14.4" x14ac:dyDescent="0.3"/>
  <cols>
    <col min="1" max="1" width="13.33203125" customWidth="1"/>
    <col min="2" max="2" width="5.109375" customWidth="1"/>
    <col min="3" max="3" width="34" customWidth="1"/>
    <col min="4" max="4" width="12.109375" customWidth="1"/>
    <col min="5" max="5" width="9.6640625" customWidth="1"/>
    <col min="6" max="6" width="15.77734375" customWidth="1"/>
    <col min="7" max="7" width="12.109375" customWidth="1"/>
    <col min="8" max="8" width="9.33203125" customWidth="1"/>
    <col min="9" max="9" width="14.6640625" customWidth="1"/>
  </cols>
  <sheetData>
    <row r="1" spans="1:11" ht="33" customHeight="1" thickBot="1" x14ac:dyDescent="0.35">
      <c r="A1" s="113" t="s">
        <v>0</v>
      </c>
      <c r="B1" s="114"/>
      <c r="C1" s="114"/>
      <c r="D1" s="114"/>
      <c r="E1" s="114"/>
      <c r="F1" s="114"/>
      <c r="G1" s="114"/>
      <c r="H1" s="114"/>
      <c r="I1" s="114"/>
    </row>
    <row r="2" spans="1:11" ht="18" customHeight="1" x14ac:dyDescent="0.3">
      <c r="A2" s="3"/>
      <c r="B2" s="2"/>
      <c r="C2" s="2"/>
      <c r="D2" s="107" t="s">
        <v>582</v>
      </c>
      <c r="E2" s="108"/>
      <c r="F2" s="109"/>
      <c r="G2" s="110" t="s">
        <v>583</v>
      </c>
      <c r="H2" s="111"/>
      <c r="I2" s="112"/>
    </row>
    <row r="3" spans="1:11" x14ac:dyDescent="0.3">
      <c r="A3" s="6" t="s">
        <v>1</v>
      </c>
      <c r="B3" s="7" t="s">
        <v>2</v>
      </c>
      <c r="C3" s="65" t="s">
        <v>3</v>
      </c>
      <c r="D3" s="6" t="s">
        <v>579</v>
      </c>
      <c r="E3" s="7" t="s">
        <v>580</v>
      </c>
      <c r="F3" s="32" t="s">
        <v>581</v>
      </c>
      <c r="G3" s="6" t="s">
        <v>579</v>
      </c>
      <c r="H3" s="7" t="s">
        <v>580</v>
      </c>
      <c r="I3" s="32" t="s">
        <v>581</v>
      </c>
    </row>
    <row r="4" spans="1:11" x14ac:dyDescent="0.3">
      <c r="A4" s="66" t="s">
        <v>4</v>
      </c>
      <c r="B4" s="67" t="s">
        <v>5</v>
      </c>
      <c r="C4" s="68" t="s">
        <v>6</v>
      </c>
      <c r="D4" s="33">
        <f t="shared" ref="D4:I4" si="0">D8</f>
        <v>1</v>
      </c>
      <c r="E4" s="34">
        <f t="shared" si="0"/>
        <v>58307.48</v>
      </c>
      <c r="F4" s="35">
        <f t="shared" si="0"/>
        <v>58307.48</v>
      </c>
      <c r="G4" s="33">
        <f t="shared" si="0"/>
        <v>1</v>
      </c>
      <c r="H4" s="93">
        <f t="shared" si="0"/>
        <v>0</v>
      </c>
      <c r="I4" s="35">
        <f t="shared" si="0"/>
        <v>0</v>
      </c>
    </row>
    <row r="5" spans="1:11" ht="20.399999999999999" x14ac:dyDescent="0.3">
      <c r="A5" s="69" t="s">
        <v>7</v>
      </c>
      <c r="B5" s="70" t="s">
        <v>8</v>
      </c>
      <c r="C5" s="71" t="s">
        <v>9</v>
      </c>
      <c r="D5" s="36">
        <v>1150</v>
      </c>
      <c r="E5" s="37">
        <f>1.06*22.42</f>
        <v>23.77</v>
      </c>
      <c r="F5" s="38">
        <f>ROUND(D5*E5,2)</f>
        <v>27335.5</v>
      </c>
      <c r="G5" s="36">
        <v>1150</v>
      </c>
      <c r="H5" s="91"/>
      <c r="I5" s="38">
        <f>ROUND(G5*H5,2)</f>
        <v>0</v>
      </c>
    </row>
    <row r="6" spans="1:11" ht="20.399999999999999" x14ac:dyDescent="0.3">
      <c r="A6" s="69" t="s">
        <v>10</v>
      </c>
      <c r="B6" s="70" t="s">
        <v>11</v>
      </c>
      <c r="C6" s="71" t="s">
        <v>12</v>
      </c>
      <c r="D6" s="36">
        <v>12194</v>
      </c>
      <c r="E6" s="37">
        <f>1.06*1.58</f>
        <v>1.67</v>
      </c>
      <c r="F6" s="38">
        <f>ROUND(D6*E6,2)</f>
        <v>20363.98</v>
      </c>
      <c r="G6" s="36">
        <v>12194</v>
      </c>
      <c r="H6" s="91"/>
      <c r="I6" s="38">
        <f>ROUND(G6*H6,2)</f>
        <v>0</v>
      </c>
    </row>
    <row r="7" spans="1:11" ht="30.6" x14ac:dyDescent="0.3">
      <c r="A7" s="69" t="s">
        <v>13</v>
      </c>
      <c r="B7" s="70" t="s">
        <v>8</v>
      </c>
      <c r="C7" s="71" t="s">
        <v>14</v>
      </c>
      <c r="D7" s="36">
        <v>1020</v>
      </c>
      <c r="E7" s="37">
        <f>1.06*9.81</f>
        <v>10.4</v>
      </c>
      <c r="F7" s="38">
        <f>ROUND(D7*E7,2)</f>
        <v>10608</v>
      </c>
      <c r="G7" s="36">
        <v>1020</v>
      </c>
      <c r="H7" s="91"/>
      <c r="I7" s="38">
        <f>ROUND(G7*H7,2)</f>
        <v>0</v>
      </c>
      <c r="K7" s="1"/>
    </row>
    <row r="8" spans="1:11" x14ac:dyDescent="0.3">
      <c r="A8" s="72"/>
      <c r="B8" s="73"/>
      <c r="C8" s="74" t="s">
        <v>15</v>
      </c>
      <c r="D8" s="39">
        <v>1</v>
      </c>
      <c r="E8" s="40">
        <f>SUM(F5:F7)</f>
        <v>58307.48</v>
      </c>
      <c r="F8" s="41">
        <f>ROUND(D8*E8,2)</f>
        <v>58307.48</v>
      </c>
      <c r="G8" s="39">
        <v>1</v>
      </c>
      <c r="H8" s="92">
        <f>SUM(I5:I7)</f>
        <v>0</v>
      </c>
      <c r="I8" s="41">
        <f>ROUND(G8*H8,2)</f>
        <v>0</v>
      </c>
    </row>
    <row r="9" spans="1:11" ht="1.05" customHeight="1" x14ac:dyDescent="0.3">
      <c r="A9" s="42"/>
      <c r="B9" s="43"/>
      <c r="C9" s="75"/>
      <c r="D9" s="42"/>
      <c r="E9" s="43"/>
      <c r="F9" s="44"/>
      <c r="G9" s="42"/>
      <c r="H9" s="91">
        <v>10.4</v>
      </c>
      <c r="I9" s="44"/>
    </row>
    <row r="10" spans="1:11" ht="20.399999999999999" x14ac:dyDescent="0.3">
      <c r="A10" s="66" t="s">
        <v>16</v>
      </c>
      <c r="B10" s="67" t="s">
        <v>5</v>
      </c>
      <c r="C10" s="68" t="s">
        <v>17</v>
      </c>
      <c r="D10" s="33">
        <f t="shared" ref="D10:I10" si="1">D30</f>
        <v>1</v>
      </c>
      <c r="E10" s="34">
        <f t="shared" si="1"/>
        <v>671655.21</v>
      </c>
      <c r="F10" s="35">
        <f t="shared" si="1"/>
        <v>671655.21</v>
      </c>
      <c r="G10" s="33">
        <f t="shared" si="1"/>
        <v>1</v>
      </c>
      <c r="H10" s="93">
        <f t="shared" si="1"/>
        <v>20000</v>
      </c>
      <c r="I10" s="35">
        <f t="shared" si="1"/>
        <v>20000</v>
      </c>
    </row>
    <row r="11" spans="1:11" x14ac:dyDescent="0.3">
      <c r="A11" s="76" t="s">
        <v>18</v>
      </c>
      <c r="B11" s="77" t="s">
        <v>5</v>
      </c>
      <c r="C11" s="78" t="s">
        <v>19</v>
      </c>
      <c r="D11" s="45">
        <f t="shared" ref="D11:I11" si="2">D15</f>
        <v>1</v>
      </c>
      <c r="E11" s="46">
        <f t="shared" si="2"/>
        <v>576590.25</v>
      </c>
      <c r="F11" s="47">
        <f t="shared" si="2"/>
        <v>576590.25</v>
      </c>
      <c r="G11" s="45">
        <f t="shared" si="2"/>
        <v>1</v>
      </c>
      <c r="H11" s="94">
        <f t="shared" si="2"/>
        <v>0</v>
      </c>
      <c r="I11" s="47">
        <f t="shared" si="2"/>
        <v>0</v>
      </c>
    </row>
    <row r="12" spans="1:11" ht="20.399999999999999" x14ac:dyDescent="0.3">
      <c r="A12" s="69" t="s">
        <v>20</v>
      </c>
      <c r="B12" s="70" t="s">
        <v>21</v>
      </c>
      <c r="C12" s="71" t="s">
        <v>22</v>
      </c>
      <c r="D12" s="36">
        <v>3207.99</v>
      </c>
      <c r="E12" s="37">
        <f>1.06*82.22</f>
        <v>87.15</v>
      </c>
      <c r="F12" s="38">
        <f>ROUND(D12*E12,2)</f>
        <v>279576.33</v>
      </c>
      <c r="G12" s="36">
        <v>3207.99</v>
      </c>
      <c r="H12" s="91"/>
      <c r="I12" s="38">
        <f>ROUND(G12*H12,2)</f>
        <v>0</v>
      </c>
    </row>
    <row r="13" spans="1:11" ht="30.6" x14ac:dyDescent="0.3">
      <c r="A13" s="69" t="s">
        <v>23</v>
      </c>
      <c r="B13" s="70" t="s">
        <v>21</v>
      </c>
      <c r="C13" s="71" t="s">
        <v>24</v>
      </c>
      <c r="D13" s="36">
        <v>2611.48</v>
      </c>
      <c r="E13" s="37">
        <f>1.06*60.3</f>
        <v>63.92</v>
      </c>
      <c r="F13" s="38">
        <f>ROUND(D13*E13,2)</f>
        <v>166925.79999999999</v>
      </c>
      <c r="G13" s="36">
        <v>2611.48</v>
      </c>
      <c r="H13" s="91"/>
      <c r="I13" s="38">
        <f>ROUND(G13*H13,2)</f>
        <v>0</v>
      </c>
    </row>
    <row r="14" spans="1:11" ht="20.399999999999999" x14ac:dyDescent="0.3">
      <c r="A14" s="69" t="s">
        <v>25</v>
      </c>
      <c r="B14" s="70" t="s">
        <v>21</v>
      </c>
      <c r="C14" s="71" t="s">
        <v>26</v>
      </c>
      <c r="D14" s="36">
        <v>6263.27</v>
      </c>
      <c r="E14" s="37">
        <f>1.06*19.59</f>
        <v>20.77</v>
      </c>
      <c r="F14" s="38">
        <f>ROUND(D14*E14,2)</f>
        <v>130088.12</v>
      </c>
      <c r="G14" s="36">
        <v>6263.27</v>
      </c>
      <c r="H14" s="91"/>
      <c r="I14" s="38">
        <f>ROUND(G14*H14,2)</f>
        <v>0</v>
      </c>
    </row>
    <row r="15" spans="1:11" x14ac:dyDescent="0.3">
      <c r="A15" s="72"/>
      <c r="B15" s="73"/>
      <c r="C15" s="74" t="s">
        <v>27</v>
      </c>
      <c r="D15" s="36">
        <v>1</v>
      </c>
      <c r="E15" s="40">
        <f>SUM(F12:F14)</f>
        <v>576590.25</v>
      </c>
      <c r="F15" s="41">
        <f>ROUND(D15*E15,2)</f>
        <v>576590.25</v>
      </c>
      <c r="G15" s="36">
        <v>1</v>
      </c>
      <c r="H15" s="92">
        <f>SUM(I12:I14)</f>
        <v>0</v>
      </c>
      <c r="I15" s="41">
        <f>ROUND(G15*H15,2)</f>
        <v>0</v>
      </c>
    </row>
    <row r="16" spans="1:11" ht="1.05" customHeight="1" x14ac:dyDescent="0.3">
      <c r="A16" s="42"/>
      <c r="B16" s="43"/>
      <c r="C16" s="75"/>
      <c r="D16" s="42"/>
      <c r="E16" s="43"/>
      <c r="F16" s="44"/>
      <c r="G16" s="42"/>
      <c r="H16" s="91"/>
      <c r="I16" s="44"/>
    </row>
    <row r="17" spans="1:11" x14ac:dyDescent="0.3">
      <c r="A17" s="76" t="s">
        <v>28</v>
      </c>
      <c r="B17" s="77" t="s">
        <v>5</v>
      </c>
      <c r="C17" s="78" t="s">
        <v>29</v>
      </c>
      <c r="D17" s="45">
        <f t="shared" ref="D17:I17" si="3">D22</f>
        <v>1</v>
      </c>
      <c r="E17" s="46">
        <f t="shared" si="3"/>
        <v>74881.399999999994</v>
      </c>
      <c r="F17" s="47">
        <f t="shared" si="3"/>
        <v>74881.399999999994</v>
      </c>
      <c r="G17" s="45">
        <f t="shared" si="3"/>
        <v>1</v>
      </c>
      <c r="H17" s="94">
        <f t="shared" si="3"/>
        <v>0</v>
      </c>
      <c r="I17" s="47">
        <f t="shared" si="3"/>
        <v>0</v>
      </c>
    </row>
    <row r="18" spans="1:11" x14ac:dyDescent="0.3">
      <c r="A18" s="69" t="s">
        <v>30</v>
      </c>
      <c r="B18" s="70" t="s">
        <v>8</v>
      </c>
      <c r="C18" s="71" t="s">
        <v>31</v>
      </c>
      <c r="D18" s="36">
        <v>4274</v>
      </c>
      <c r="E18" s="37">
        <f>1.06*3.37</f>
        <v>3.57</v>
      </c>
      <c r="F18" s="38">
        <f>ROUND(D18*E18,2)</f>
        <v>15258.18</v>
      </c>
      <c r="G18" s="36">
        <v>4274</v>
      </c>
      <c r="H18" s="91"/>
      <c r="I18" s="38">
        <f>ROUND(G18*H18,2)</f>
        <v>0</v>
      </c>
    </row>
    <row r="19" spans="1:11" ht="20.399999999999999" x14ac:dyDescent="0.3">
      <c r="A19" s="69" t="s">
        <v>32</v>
      </c>
      <c r="B19" s="70" t="s">
        <v>8</v>
      </c>
      <c r="C19" s="71" t="s">
        <v>33</v>
      </c>
      <c r="D19" s="36">
        <v>8548</v>
      </c>
      <c r="E19" s="37">
        <f>1.06*1.19</f>
        <v>1.26</v>
      </c>
      <c r="F19" s="38">
        <f>ROUND(D19*E19,2)</f>
        <v>10770.48</v>
      </c>
      <c r="G19" s="36">
        <v>8548</v>
      </c>
      <c r="H19" s="91"/>
      <c r="I19" s="38">
        <f>ROUND(G19*H19,2)</f>
        <v>0</v>
      </c>
    </row>
    <row r="20" spans="1:11" ht="20.399999999999999" x14ac:dyDescent="0.3">
      <c r="A20" s="69" t="s">
        <v>34</v>
      </c>
      <c r="B20" s="70" t="s">
        <v>35</v>
      </c>
      <c r="C20" s="71" t="s">
        <v>36</v>
      </c>
      <c r="D20" s="36">
        <v>6197.36</v>
      </c>
      <c r="E20" s="37">
        <f>1.06*5.06</f>
        <v>5.36</v>
      </c>
      <c r="F20" s="38">
        <f>ROUND(D20*E20,2)</f>
        <v>33217.85</v>
      </c>
      <c r="G20" s="36">
        <v>6197.36</v>
      </c>
      <c r="H20" s="91"/>
      <c r="I20" s="38">
        <f>ROUND(G20*H20,2)</f>
        <v>0</v>
      </c>
    </row>
    <row r="21" spans="1:11" ht="20.399999999999999" x14ac:dyDescent="0.3">
      <c r="A21" s="69" t="s">
        <v>37</v>
      </c>
      <c r="B21" s="70" t="s">
        <v>35</v>
      </c>
      <c r="C21" s="71" t="s">
        <v>38</v>
      </c>
      <c r="D21" s="36">
        <v>6597</v>
      </c>
      <c r="E21" s="37">
        <f>1.06*2.24</f>
        <v>2.37</v>
      </c>
      <c r="F21" s="38">
        <f>ROUND(D21*E21,2)</f>
        <v>15634.89</v>
      </c>
      <c r="G21" s="36">
        <v>6597</v>
      </c>
      <c r="H21" s="91"/>
      <c r="I21" s="38">
        <f>ROUND(G21*H21,2)</f>
        <v>0</v>
      </c>
    </row>
    <row r="22" spans="1:11" x14ac:dyDescent="0.3">
      <c r="A22" s="72"/>
      <c r="B22" s="73"/>
      <c r="C22" s="74" t="s">
        <v>39</v>
      </c>
      <c r="D22" s="36">
        <v>1</v>
      </c>
      <c r="E22" s="40">
        <f>SUM(F18:F21)</f>
        <v>74881.399999999994</v>
      </c>
      <c r="F22" s="41">
        <f>ROUND(D22*E22,2)</f>
        <v>74881.399999999994</v>
      </c>
      <c r="G22" s="36">
        <v>1</v>
      </c>
      <c r="H22" s="92">
        <f>SUM(I18:I21)</f>
        <v>0</v>
      </c>
      <c r="I22" s="41">
        <f>ROUND(G22*H22,2)</f>
        <v>0</v>
      </c>
    </row>
    <row r="23" spans="1:11" ht="1.05" customHeight="1" x14ac:dyDescent="0.3">
      <c r="A23" s="42"/>
      <c r="B23" s="43"/>
      <c r="C23" s="75"/>
      <c r="D23" s="42"/>
      <c r="E23" s="43"/>
      <c r="F23" s="44"/>
      <c r="G23" s="42"/>
      <c r="H23" s="91"/>
      <c r="I23" s="44"/>
    </row>
    <row r="24" spans="1:11" x14ac:dyDescent="0.3">
      <c r="A24" s="76" t="s">
        <v>40</v>
      </c>
      <c r="B24" s="77" t="s">
        <v>5</v>
      </c>
      <c r="C24" s="78" t="s">
        <v>41</v>
      </c>
      <c r="D24" s="45">
        <f t="shared" ref="D24:I24" si="4">D27</f>
        <v>1</v>
      </c>
      <c r="E24" s="46">
        <f t="shared" si="4"/>
        <v>183.56</v>
      </c>
      <c r="F24" s="47">
        <f t="shared" si="4"/>
        <v>183.56</v>
      </c>
      <c r="G24" s="45">
        <f t="shared" si="4"/>
        <v>1</v>
      </c>
      <c r="H24" s="94">
        <f t="shared" si="4"/>
        <v>0</v>
      </c>
      <c r="I24" s="47">
        <f t="shared" si="4"/>
        <v>0</v>
      </c>
    </row>
    <row r="25" spans="1:11" x14ac:dyDescent="0.3">
      <c r="A25" s="69" t="s">
        <v>42</v>
      </c>
      <c r="B25" s="70" t="s">
        <v>35</v>
      </c>
      <c r="C25" s="71" t="s">
        <v>43</v>
      </c>
      <c r="D25" s="36">
        <v>6</v>
      </c>
      <c r="E25" s="37">
        <f>1.06*7.08</f>
        <v>7.5</v>
      </c>
      <c r="F25" s="38">
        <f>ROUND(D25*E25,2)</f>
        <v>45</v>
      </c>
      <c r="G25" s="36">
        <v>6</v>
      </c>
      <c r="H25" s="91"/>
      <c r="I25" s="38">
        <f>ROUND(G25*H25,2)</f>
        <v>0</v>
      </c>
    </row>
    <row r="26" spans="1:11" x14ac:dyDescent="0.3">
      <c r="A26" s="69" t="s">
        <v>44</v>
      </c>
      <c r="B26" s="70" t="s">
        <v>35</v>
      </c>
      <c r="C26" s="71" t="s">
        <v>45</v>
      </c>
      <c r="D26" s="36">
        <v>8</v>
      </c>
      <c r="E26" s="37">
        <f>1.06*16.34</f>
        <v>17.32</v>
      </c>
      <c r="F26" s="38">
        <f>ROUND(D26*E26,2)</f>
        <v>138.56</v>
      </c>
      <c r="G26" s="36">
        <v>8</v>
      </c>
      <c r="H26" s="91"/>
      <c r="I26" s="38">
        <f>ROUND(G26*H26,2)</f>
        <v>0</v>
      </c>
    </row>
    <row r="27" spans="1:11" x14ac:dyDescent="0.3">
      <c r="A27" s="72"/>
      <c r="B27" s="73"/>
      <c r="C27" s="74" t="s">
        <v>46</v>
      </c>
      <c r="D27" s="36">
        <v>1</v>
      </c>
      <c r="E27" s="40">
        <f>SUM(F25:F26)</f>
        <v>183.56</v>
      </c>
      <c r="F27" s="41">
        <f>ROUND(D27*E27,2)</f>
        <v>183.56</v>
      </c>
      <c r="G27" s="36">
        <v>1</v>
      </c>
      <c r="H27" s="92">
        <f>SUM(I25:I26)</f>
        <v>0</v>
      </c>
      <c r="I27" s="41">
        <f>ROUND(G27*H27,2)</f>
        <v>0</v>
      </c>
    </row>
    <row r="28" spans="1:11" ht="1.05" customHeight="1" x14ac:dyDescent="0.3">
      <c r="A28" s="42"/>
      <c r="B28" s="43"/>
      <c r="C28" s="75"/>
      <c r="D28" s="42"/>
      <c r="E28" s="43"/>
      <c r="F28" s="44"/>
      <c r="G28" s="42"/>
      <c r="H28" s="91"/>
      <c r="I28" s="44"/>
    </row>
    <row r="29" spans="1:11" ht="20.399999999999999" x14ac:dyDescent="0.3">
      <c r="A29" s="76" t="s">
        <v>47</v>
      </c>
      <c r="B29" s="77" t="s">
        <v>48</v>
      </c>
      <c r="C29" s="78" t="s">
        <v>49</v>
      </c>
      <c r="D29" s="48">
        <v>1</v>
      </c>
      <c r="E29" s="49">
        <v>20000</v>
      </c>
      <c r="F29" s="47">
        <f>ROUND(D29*E29,2)</f>
        <v>20000</v>
      </c>
      <c r="G29" s="48">
        <v>1</v>
      </c>
      <c r="H29" s="96">
        <v>20000</v>
      </c>
      <c r="I29" s="47">
        <f>ROUND(G29*H29,2)</f>
        <v>20000</v>
      </c>
      <c r="K29" s="1"/>
    </row>
    <row r="30" spans="1:11" x14ac:dyDescent="0.3">
      <c r="A30" s="72"/>
      <c r="B30" s="73"/>
      <c r="C30" s="74" t="s">
        <v>50</v>
      </c>
      <c r="D30" s="39">
        <v>1</v>
      </c>
      <c r="E30" s="40">
        <f>F11+F17+F24+F29</f>
        <v>671655.21</v>
      </c>
      <c r="F30" s="41">
        <f>ROUND(D30*E30,2)</f>
        <v>671655.21</v>
      </c>
      <c r="G30" s="39">
        <v>1</v>
      </c>
      <c r="H30" s="92">
        <f>I11+I17+I24+I29</f>
        <v>20000</v>
      </c>
      <c r="I30" s="41">
        <f>ROUND(G30*H30,2)</f>
        <v>20000</v>
      </c>
    </row>
    <row r="31" spans="1:11" ht="1.05" customHeight="1" x14ac:dyDescent="0.3">
      <c r="A31" s="42"/>
      <c r="B31" s="43"/>
      <c r="C31" s="75"/>
      <c r="D31" s="42"/>
      <c r="E31" s="43"/>
      <c r="F31" s="44"/>
      <c r="G31" s="42"/>
      <c r="H31" s="91"/>
      <c r="I31" s="44"/>
    </row>
    <row r="32" spans="1:11" x14ac:dyDescent="0.3">
      <c r="A32" s="66" t="s">
        <v>51</v>
      </c>
      <c r="B32" s="67" t="s">
        <v>5</v>
      </c>
      <c r="C32" s="68" t="s">
        <v>52</v>
      </c>
      <c r="D32" s="33">
        <f t="shared" ref="D32:I32" si="5">D80</f>
        <v>1</v>
      </c>
      <c r="E32" s="34">
        <f t="shared" si="5"/>
        <v>2091700.96</v>
      </c>
      <c r="F32" s="35">
        <f t="shared" si="5"/>
        <v>2091700.96</v>
      </c>
      <c r="G32" s="33">
        <f t="shared" si="5"/>
        <v>1</v>
      </c>
      <c r="H32" s="93">
        <f t="shared" si="5"/>
        <v>70000</v>
      </c>
      <c r="I32" s="35">
        <f t="shared" si="5"/>
        <v>70000</v>
      </c>
    </row>
    <row r="33" spans="1:9" ht="20.399999999999999" x14ac:dyDescent="0.3">
      <c r="A33" s="76" t="s">
        <v>53</v>
      </c>
      <c r="B33" s="77" t="s">
        <v>5</v>
      </c>
      <c r="C33" s="78" t="s">
        <v>54</v>
      </c>
      <c r="D33" s="45">
        <f t="shared" ref="D33:I33" si="6">D60</f>
        <v>1</v>
      </c>
      <c r="E33" s="46">
        <f t="shared" si="6"/>
        <v>529194.52</v>
      </c>
      <c r="F33" s="47">
        <f t="shared" si="6"/>
        <v>529194.52</v>
      </c>
      <c r="G33" s="45">
        <f t="shared" si="6"/>
        <v>1</v>
      </c>
      <c r="H33" s="94">
        <f t="shared" si="6"/>
        <v>20000</v>
      </c>
      <c r="I33" s="47">
        <f t="shared" si="6"/>
        <v>20000</v>
      </c>
    </row>
    <row r="34" spans="1:9" x14ac:dyDescent="0.3">
      <c r="A34" s="79" t="s">
        <v>55</v>
      </c>
      <c r="B34" s="80" t="s">
        <v>5</v>
      </c>
      <c r="C34" s="81" t="s">
        <v>56</v>
      </c>
      <c r="D34" s="50">
        <f t="shared" ref="D34:I34" si="7">D47</f>
        <v>1</v>
      </c>
      <c r="E34" s="51">
        <f t="shared" si="7"/>
        <v>380738.62</v>
      </c>
      <c r="F34" s="52">
        <f t="shared" si="7"/>
        <v>380738.62</v>
      </c>
      <c r="G34" s="50">
        <f t="shared" si="7"/>
        <v>1</v>
      </c>
      <c r="H34" s="97">
        <f t="shared" si="7"/>
        <v>20000</v>
      </c>
      <c r="I34" s="52">
        <f t="shared" si="7"/>
        <v>20000</v>
      </c>
    </row>
    <row r="35" spans="1:9" x14ac:dyDescent="0.3">
      <c r="A35" s="69" t="s">
        <v>57</v>
      </c>
      <c r="B35" s="70" t="s">
        <v>8</v>
      </c>
      <c r="C35" s="71" t="s">
        <v>58</v>
      </c>
      <c r="D35" s="36">
        <v>4370</v>
      </c>
      <c r="E35" s="37">
        <f>1.06*42.05</f>
        <v>44.57</v>
      </c>
      <c r="F35" s="38">
        <f t="shared" ref="F35:F47" si="8">ROUND(D35*E35,2)</f>
        <v>194770.9</v>
      </c>
      <c r="G35" s="36">
        <v>4370</v>
      </c>
      <c r="H35" s="91"/>
      <c r="I35" s="38">
        <f t="shared" ref="I35:I47" si="9">ROUND(G35*H35,2)</f>
        <v>0</v>
      </c>
    </row>
    <row r="36" spans="1:9" ht="20.399999999999999" x14ac:dyDescent="0.3">
      <c r="A36" s="69" t="s">
        <v>59</v>
      </c>
      <c r="B36" s="70" t="s">
        <v>8</v>
      </c>
      <c r="C36" s="71" t="s">
        <v>61</v>
      </c>
      <c r="D36" s="36">
        <v>8644</v>
      </c>
      <c r="E36" s="37">
        <f>1.06*1.19</f>
        <v>1.26</v>
      </c>
      <c r="F36" s="38">
        <f t="shared" si="8"/>
        <v>10891.44</v>
      </c>
      <c r="G36" s="36">
        <v>8644</v>
      </c>
      <c r="H36" s="91"/>
      <c r="I36" s="38">
        <f t="shared" si="9"/>
        <v>0</v>
      </c>
    </row>
    <row r="37" spans="1:9" x14ac:dyDescent="0.3">
      <c r="A37" s="69" t="s">
        <v>60</v>
      </c>
      <c r="B37" s="70" t="s">
        <v>8</v>
      </c>
      <c r="C37" s="71" t="s">
        <v>63</v>
      </c>
      <c r="D37" s="36">
        <v>4370</v>
      </c>
      <c r="E37" s="37">
        <f>1.06*3.68</f>
        <v>3.9</v>
      </c>
      <c r="F37" s="38">
        <f t="shared" si="8"/>
        <v>17043</v>
      </c>
      <c r="G37" s="36">
        <v>4370</v>
      </c>
      <c r="H37" s="91"/>
      <c r="I37" s="38">
        <f t="shared" si="9"/>
        <v>0</v>
      </c>
    </row>
    <row r="38" spans="1:9" ht="20.399999999999999" x14ac:dyDescent="0.3">
      <c r="A38" s="69" t="s">
        <v>62</v>
      </c>
      <c r="B38" s="70" t="s">
        <v>35</v>
      </c>
      <c r="C38" s="71" t="s">
        <v>65</v>
      </c>
      <c r="D38" s="36">
        <v>8</v>
      </c>
      <c r="E38" s="37">
        <f>1.06*61.17</f>
        <v>64.84</v>
      </c>
      <c r="F38" s="38">
        <f t="shared" si="8"/>
        <v>518.72</v>
      </c>
      <c r="G38" s="36">
        <v>8</v>
      </c>
      <c r="H38" s="91"/>
      <c r="I38" s="38">
        <f t="shared" si="9"/>
        <v>0</v>
      </c>
    </row>
    <row r="39" spans="1:9" ht="20.399999999999999" x14ac:dyDescent="0.3">
      <c r="A39" s="69" t="s">
        <v>64</v>
      </c>
      <c r="B39" s="70" t="s">
        <v>8</v>
      </c>
      <c r="C39" s="71" t="s">
        <v>67</v>
      </c>
      <c r="D39" s="36">
        <v>2112</v>
      </c>
      <c r="E39" s="37">
        <f>1.06*7.94</f>
        <v>8.42</v>
      </c>
      <c r="F39" s="38">
        <f t="shared" si="8"/>
        <v>17783.04</v>
      </c>
      <c r="G39" s="36">
        <v>2112</v>
      </c>
      <c r="H39" s="91"/>
      <c r="I39" s="38">
        <f t="shared" si="9"/>
        <v>0</v>
      </c>
    </row>
    <row r="40" spans="1:9" ht="20.399999999999999" x14ac:dyDescent="0.3">
      <c r="A40" s="69" t="s">
        <v>66</v>
      </c>
      <c r="B40" s="70" t="s">
        <v>8</v>
      </c>
      <c r="C40" s="71" t="s">
        <v>69</v>
      </c>
      <c r="D40" s="36">
        <v>200</v>
      </c>
      <c r="E40" s="37">
        <f>1.06*28.78</f>
        <v>30.51</v>
      </c>
      <c r="F40" s="38">
        <f t="shared" si="8"/>
        <v>6102</v>
      </c>
      <c r="G40" s="36">
        <v>200</v>
      </c>
      <c r="H40" s="91"/>
      <c r="I40" s="38">
        <f t="shared" si="9"/>
        <v>0</v>
      </c>
    </row>
    <row r="41" spans="1:9" ht="20.399999999999999" x14ac:dyDescent="0.3">
      <c r="A41" s="69" t="s">
        <v>68</v>
      </c>
      <c r="B41" s="70" t="s">
        <v>35</v>
      </c>
      <c r="C41" s="71" t="s">
        <v>647</v>
      </c>
      <c r="D41" s="36">
        <v>244</v>
      </c>
      <c r="E41" s="37">
        <f>1.06*82.23</f>
        <v>87.16</v>
      </c>
      <c r="F41" s="38">
        <f t="shared" si="8"/>
        <v>21267.040000000001</v>
      </c>
      <c r="G41" s="36">
        <v>244</v>
      </c>
      <c r="H41" s="91"/>
      <c r="I41" s="38">
        <f t="shared" si="9"/>
        <v>0</v>
      </c>
    </row>
    <row r="42" spans="1:9" ht="20.399999999999999" x14ac:dyDescent="0.3">
      <c r="A42" s="69" t="s">
        <v>70</v>
      </c>
      <c r="B42" s="70" t="s">
        <v>35</v>
      </c>
      <c r="C42" s="71" t="s">
        <v>72</v>
      </c>
      <c r="D42" s="36">
        <v>8</v>
      </c>
      <c r="E42" s="37">
        <f>1.06*475.47</f>
        <v>504</v>
      </c>
      <c r="F42" s="38">
        <f t="shared" si="8"/>
        <v>4032</v>
      </c>
      <c r="G42" s="36">
        <v>8</v>
      </c>
      <c r="H42" s="91"/>
      <c r="I42" s="38">
        <f t="shared" si="9"/>
        <v>0</v>
      </c>
    </row>
    <row r="43" spans="1:9" ht="20.399999999999999" x14ac:dyDescent="0.3">
      <c r="A43" s="69" t="s">
        <v>71</v>
      </c>
      <c r="B43" s="70" t="s">
        <v>35</v>
      </c>
      <c r="C43" s="71" t="s">
        <v>74</v>
      </c>
      <c r="D43" s="36">
        <v>8</v>
      </c>
      <c r="E43" s="37">
        <f>1.06*70.38</f>
        <v>74.599999999999994</v>
      </c>
      <c r="F43" s="38">
        <f t="shared" si="8"/>
        <v>596.79999999999995</v>
      </c>
      <c r="G43" s="36">
        <v>8</v>
      </c>
      <c r="H43" s="91"/>
      <c r="I43" s="38">
        <f t="shared" si="9"/>
        <v>0</v>
      </c>
    </row>
    <row r="44" spans="1:9" x14ac:dyDescent="0.3">
      <c r="A44" s="69" t="s">
        <v>73</v>
      </c>
      <c r="B44" s="70" t="s">
        <v>48</v>
      </c>
      <c r="C44" s="71" t="s">
        <v>76</v>
      </c>
      <c r="D44" s="36">
        <v>1</v>
      </c>
      <c r="E44" s="37">
        <f>1.06*18867.92</f>
        <v>20000</v>
      </c>
      <c r="F44" s="38">
        <f t="shared" si="8"/>
        <v>20000</v>
      </c>
      <c r="G44" s="36">
        <v>1</v>
      </c>
      <c r="H44" s="95">
        <v>20000</v>
      </c>
      <c r="I44" s="38">
        <f t="shared" si="9"/>
        <v>20000</v>
      </c>
    </row>
    <row r="45" spans="1:9" ht="20.399999999999999" x14ac:dyDescent="0.3">
      <c r="A45" s="69" t="s">
        <v>75</v>
      </c>
      <c r="B45" s="70" t="s">
        <v>35</v>
      </c>
      <c r="C45" s="71" t="s">
        <v>78</v>
      </c>
      <c r="D45" s="36">
        <v>1</v>
      </c>
      <c r="E45" s="37">
        <f>1.06*49200</f>
        <v>52152</v>
      </c>
      <c r="F45" s="38">
        <f t="shared" si="8"/>
        <v>52152</v>
      </c>
      <c r="G45" s="36">
        <v>1</v>
      </c>
      <c r="H45" s="91"/>
      <c r="I45" s="38">
        <f t="shared" si="9"/>
        <v>0</v>
      </c>
    </row>
    <row r="46" spans="1:9" x14ac:dyDescent="0.3">
      <c r="A46" s="69" t="s">
        <v>77</v>
      </c>
      <c r="B46" s="70" t="s">
        <v>8</v>
      </c>
      <c r="C46" s="71" t="s">
        <v>79</v>
      </c>
      <c r="D46" s="36">
        <v>2052</v>
      </c>
      <c r="E46" s="37">
        <f>1.06*16.36</f>
        <v>17.34</v>
      </c>
      <c r="F46" s="38">
        <f t="shared" si="8"/>
        <v>35581.68</v>
      </c>
      <c r="G46" s="36">
        <v>2052</v>
      </c>
      <c r="H46" s="91"/>
      <c r="I46" s="38">
        <f t="shared" si="9"/>
        <v>0</v>
      </c>
    </row>
    <row r="47" spans="1:9" x14ac:dyDescent="0.3">
      <c r="A47" s="72"/>
      <c r="B47" s="73"/>
      <c r="C47" s="74" t="s">
        <v>80</v>
      </c>
      <c r="D47" s="36">
        <v>1</v>
      </c>
      <c r="E47" s="40">
        <f>SUM(F35:F46)</f>
        <v>380738.62</v>
      </c>
      <c r="F47" s="41">
        <f t="shared" si="8"/>
        <v>380738.62</v>
      </c>
      <c r="G47" s="36">
        <v>1</v>
      </c>
      <c r="H47" s="92">
        <f>SUM(I35:I46)</f>
        <v>20000</v>
      </c>
      <c r="I47" s="41">
        <f t="shared" si="9"/>
        <v>20000</v>
      </c>
    </row>
    <row r="48" spans="1:9" ht="1.05" customHeight="1" x14ac:dyDescent="0.3">
      <c r="A48" s="42"/>
      <c r="B48" s="43"/>
      <c r="C48" s="75"/>
      <c r="D48" s="42"/>
      <c r="E48" s="43"/>
      <c r="F48" s="44"/>
      <c r="G48" s="42"/>
      <c r="H48" s="91"/>
      <c r="I48" s="44"/>
    </row>
    <row r="49" spans="1:9" x14ac:dyDescent="0.3">
      <c r="A49" s="79" t="s">
        <v>81</v>
      </c>
      <c r="B49" s="80" t="s">
        <v>5</v>
      </c>
      <c r="C49" s="81" t="s">
        <v>82</v>
      </c>
      <c r="D49" s="50">
        <f t="shared" ref="D49:I49" si="10">D54</f>
        <v>1</v>
      </c>
      <c r="E49" s="51">
        <f t="shared" si="10"/>
        <v>148391.34</v>
      </c>
      <c r="F49" s="52">
        <f t="shared" si="10"/>
        <v>148391.34</v>
      </c>
      <c r="G49" s="50">
        <f t="shared" si="10"/>
        <v>1</v>
      </c>
      <c r="H49" s="97">
        <f t="shared" si="10"/>
        <v>0</v>
      </c>
      <c r="I49" s="52">
        <f t="shared" si="10"/>
        <v>0</v>
      </c>
    </row>
    <row r="50" spans="1:9" ht="30.6" x14ac:dyDescent="0.3">
      <c r="A50" s="69" t="s">
        <v>83</v>
      </c>
      <c r="B50" s="70" t="s">
        <v>35</v>
      </c>
      <c r="C50" s="71" t="s">
        <v>84</v>
      </c>
      <c r="D50" s="36">
        <v>12393.99</v>
      </c>
      <c r="E50" s="37">
        <f>1.06*5.08</f>
        <v>5.38</v>
      </c>
      <c r="F50" s="38">
        <f>ROUND(D50*E50,2)</f>
        <v>66679.67</v>
      </c>
      <c r="G50" s="36">
        <v>12393.99</v>
      </c>
      <c r="H50" s="91"/>
      <c r="I50" s="38">
        <f>ROUND(G50*H50,2)</f>
        <v>0</v>
      </c>
    </row>
    <row r="51" spans="1:9" ht="30.6" x14ac:dyDescent="0.3">
      <c r="A51" s="69" t="s">
        <v>85</v>
      </c>
      <c r="B51" s="70" t="s">
        <v>35</v>
      </c>
      <c r="C51" s="71" t="s">
        <v>86</v>
      </c>
      <c r="D51" s="36">
        <v>500</v>
      </c>
      <c r="E51" s="53">
        <f>1.06*58.58</f>
        <v>62.09</v>
      </c>
      <c r="F51" s="38">
        <f>ROUND(D51*E51,2)</f>
        <v>31045</v>
      </c>
      <c r="G51" s="36">
        <v>500</v>
      </c>
      <c r="H51" s="91"/>
      <c r="I51" s="38">
        <f>ROUND(G51*H51,2)</f>
        <v>0</v>
      </c>
    </row>
    <row r="52" spans="1:9" ht="30.6" x14ac:dyDescent="0.3">
      <c r="A52" s="69" t="s">
        <v>87</v>
      </c>
      <c r="B52" s="70" t="s">
        <v>35</v>
      </c>
      <c r="C52" s="71" t="s">
        <v>88</v>
      </c>
      <c r="D52" s="36">
        <v>6597</v>
      </c>
      <c r="E52" s="37">
        <f>1.06*2.93</f>
        <v>3.11</v>
      </c>
      <c r="F52" s="38">
        <f>ROUND(D52*E52,2)</f>
        <v>20516.669999999998</v>
      </c>
      <c r="G52" s="36">
        <v>6597</v>
      </c>
      <c r="H52" s="91"/>
      <c r="I52" s="38">
        <f>ROUND(G52*H52,2)</f>
        <v>0</v>
      </c>
    </row>
    <row r="53" spans="1:9" ht="30.6" x14ac:dyDescent="0.3">
      <c r="A53" s="69" t="s">
        <v>89</v>
      </c>
      <c r="B53" s="70" t="s">
        <v>35</v>
      </c>
      <c r="C53" s="71" t="s">
        <v>90</v>
      </c>
      <c r="D53" s="36">
        <v>500</v>
      </c>
      <c r="E53" s="37">
        <f>1.06*56.89</f>
        <v>60.3</v>
      </c>
      <c r="F53" s="38">
        <f>ROUND(D53*E53,2)</f>
        <v>30150</v>
      </c>
      <c r="G53" s="36">
        <v>500</v>
      </c>
      <c r="H53" s="91"/>
      <c r="I53" s="38">
        <f>ROUND(G53*H53,2)</f>
        <v>0</v>
      </c>
    </row>
    <row r="54" spans="1:9" x14ac:dyDescent="0.3">
      <c r="A54" s="81" t="s">
        <v>93</v>
      </c>
      <c r="B54" s="73"/>
      <c r="C54" s="74" t="s">
        <v>91</v>
      </c>
      <c r="D54" s="36">
        <v>1</v>
      </c>
      <c r="E54" s="40">
        <f>SUM(F50:F53)</f>
        <v>148391.34</v>
      </c>
      <c r="F54" s="41">
        <f>ROUND(D54*E54,2)</f>
        <v>148391.34</v>
      </c>
      <c r="G54" s="36">
        <v>1</v>
      </c>
      <c r="H54" s="92">
        <f>SUM(I50:I53)</f>
        <v>0</v>
      </c>
      <c r="I54" s="41">
        <f>ROUND(G54*H54,2)</f>
        <v>0</v>
      </c>
    </row>
    <row r="55" spans="1:9" ht="1.05" customHeight="1" x14ac:dyDescent="0.3">
      <c r="A55" s="42"/>
      <c r="B55" s="43"/>
      <c r="C55" s="75"/>
      <c r="D55" s="42"/>
      <c r="E55" s="43"/>
      <c r="F55" s="44"/>
      <c r="G55" s="42"/>
      <c r="H55" s="91"/>
      <c r="I55" s="44"/>
    </row>
    <row r="56" spans="1:9" x14ac:dyDescent="0.3">
      <c r="A56" s="79" t="s">
        <v>92</v>
      </c>
      <c r="B56" s="80" t="s">
        <v>5</v>
      </c>
      <c r="D56" s="50">
        <f t="shared" ref="D56:I56" si="11">D58</f>
        <v>1</v>
      </c>
      <c r="E56" s="51">
        <f t="shared" si="11"/>
        <v>64.56</v>
      </c>
      <c r="F56" s="52">
        <f t="shared" si="11"/>
        <v>64.56</v>
      </c>
      <c r="G56" s="50">
        <f t="shared" si="11"/>
        <v>1</v>
      </c>
      <c r="H56" s="97">
        <f t="shared" si="11"/>
        <v>0</v>
      </c>
      <c r="I56" s="52">
        <f t="shared" si="11"/>
        <v>0</v>
      </c>
    </row>
    <row r="57" spans="1:9" x14ac:dyDescent="0.3">
      <c r="A57" s="69" t="s">
        <v>646</v>
      </c>
      <c r="B57" s="70" t="s">
        <v>35</v>
      </c>
      <c r="C57" s="71" t="s">
        <v>94</v>
      </c>
      <c r="D57" s="36">
        <v>6</v>
      </c>
      <c r="E57" s="37">
        <f>1.06*10.15</f>
        <v>10.76</v>
      </c>
      <c r="F57" s="38">
        <f>ROUND(D57*E57,2)</f>
        <v>64.56</v>
      </c>
      <c r="G57" s="36">
        <v>6</v>
      </c>
      <c r="H57" s="91"/>
      <c r="I57" s="38">
        <f>ROUND(G57*H57,2)</f>
        <v>0</v>
      </c>
    </row>
    <row r="58" spans="1:9" x14ac:dyDescent="0.3">
      <c r="A58" s="72"/>
      <c r="B58" s="73"/>
      <c r="C58" s="74" t="s">
        <v>95</v>
      </c>
      <c r="D58" s="36">
        <v>1</v>
      </c>
      <c r="E58" s="40">
        <f>F57</f>
        <v>64.56</v>
      </c>
      <c r="F58" s="41">
        <f>ROUND(D58*E58,2)</f>
        <v>64.56</v>
      </c>
      <c r="G58" s="36">
        <v>1</v>
      </c>
      <c r="H58" s="92">
        <f>I57</f>
        <v>0</v>
      </c>
      <c r="I58" s="41">
        <f>ROUND(G58*H58,2)</f>
        <v>0</v>
      </c>
    </row>
    <row r="59" spans="1:9" ht="1.05" customHeight="1" x14ac:dyDescent="0.3">
      <c r="A59" s="42"/>
      <c r="B59" s="43"/>
      <c r="C59" s="75"/>
      <c r="D59" s="42"/>
      <c r="E59" s="43"/>
      <c r="F59" s="44"/>
      <c r="G59" s="42"/>
      <c r="H59" s="91"/>
      <c r="I59" s="44"/>
    </row>
    <row r="60" spans="1:9" x14ac:dyDescent="0.3">
      <c r="A60" s="72"/>
      <c r="B60" s="73"/>
      <c r="C60" s="74" t="s">
        <v>96</v>
      </c>
      <c r="D60" s="36">
        <v>1</v>
      </c>
      <c r="E60" s="40">
        <f>F34+F49+F56</f>
        <v>529194.52</v>
      </c>
      <c r="F60" s="41">
        <f>ROUND(D60*E60,2)</f>
        <v>529194.52</v>
      </c>
      <c r="G60" s="36">
        <v>1</v>
      </c>
      <c r="H60" s="92">
        <f>I34+I49+I56</f>
        <v>20000</v>
      </c>
      <c r="I60" s="41">
        <f>ROUND(G60*H60,2)</f>
        <v>20000</v>
      </c>
    </row>
    <row r="61" spans="1:9" ht="1.05" customHeight="1" x14ac:dyDescent="0.3">
      <c r="A61" s="42"/>
      <c r="B61" s="43"/>
      <c r="C61" s="75"/>
      <c r="D61" s="42"/>
      <c r="E61" s="43"/>
      <c r="F61" s="44"/>
      <c r="G61" s="42"/>
      <c r="H61" s="91"/>
      <c r="I61" s="44"/>
    </row>
    <row r="62" spans="1:9" x14ac:dyDescent="0.3">
      <c r="A62" s="76" t="s">
        <v>97</v>
      </c>
      <c r="B62" s="77" t="s">
        <v>5</v>
      </c>
      <c r="C62" s="78" t="s">
        <v>98</v>
      </c>
      <c r="D62" s="45">
        <f t="shared" ref="D62:I62" si="12">D71</f>
        <v>1</v>
      </c>
      <c r="E62" s="46">
        <f t="shared" si="12"/>
        <v>1554169.37</v>
      </c>
      <c r="F62" s="47">
        <f t="shared" si="12"/>
        <v>1554169.37</v>
      </c>
      <c r="G62" s="45">
        <f t="shared" si="12"/>
        <v>1</v>
      </c>
      <c r="H62" s="94">
        <f t="shared" si="12"/>
        <v>50000</v>
      </c>
      <c r="I62" s="47">
        <f t="shared" si="12"/>
        <v>50000</v>
      </c>
    </row>
    <row r="63" spans="1:9" ht="20.399999999999999" x14ac:dyDescent="0.3">
      <c r="A63" s="69" t="s">
        <v>99</v>
      </c>
      <c r="B63" s="70" t="s">
        <v>100</v>
      </c>
      <c r="C63" s="71" t="s">
        <v>101</v>
      </c>
      <c r="D63" s="36">
        <v>7042</v>
      </c>
      <c r="E63" s="37">
        <f>1.06*1.7</f>
        <v>1.8</v>
      </c>
      <c r="F63" s="38">
        <f t="shared" ref="F63:F71" si="13">ROUND(D63*E63,2)</f>
        <v>12675.6</v>
      </c>
      <c r="G63" s="36">
        <v>7042</v>
      </c>
      <c r="H63" s="91"/>
      <c r="I63" s="38">
        <f t="shared" ref="I63:I71" si="14">ROUND(G63*H63,2)</f>
        <v>0</v>
      </c>
    </row>
    <row r="64" spans="1:9" ht="30.6" x14ac:dyDescent="0.3">
      <c r="A64" s="69" t="s">
        <v>102</v>
      </c>
      <c r="B64" s="70" t="s">
        <v>103</v>
      </c>
      <c r="C64" s="71" t="s">
        <v>104</v>
      </c>
      <c r="D64" s="36">
        <v>6734.8</v>
      </c>
      <c r="E64" s="37">
        <f>1.06*131.41</f>
        <v>139.29</v>
      </c>
      <c r="F64" s="38">
        <f t="shared" si="13"/>
        <v>938090.29</v>
      </c>
      <c r="G64" s="36">
        <v>6734.8</v>
      </c>
      <c r="H64" s="91"/>
      <c r="I64" s="38">
        <f t="shared" si="14"/>
        <v>0</v>
      </c>
    </row>
    <row r="65" spans="1:9" x14ac:dyDescent="0.3">
      <c r="A65" s="69" t="s">
        <v>105</v>
      </c>
      <c r="B65" s="70" t="s">
        <v>100</v>
      </c>
      <c r="C65" s="71" t="s">
        <v>106</v>
      </c>
      <c r="D65" s="36">
        <v>12152.8</v>
      </c>
      <c r="E65" s="37">
        <f>1.06*18</f>
        <v>19.079999999999998</v>
      </c>
      <c r="F65" s="38">
        <f t="shared" si="13"/>
        <v>231875.42</v>
      </c>
      <c r="G65" s="36">
        <v>12152.8</v>
      </c>
      <c r="H65" s="91"/>
      <c r="I65" s="38">
        <f t="shared" si="14"/>
        <v>0</v>
      </c>
    </row>
    <row r="66" spans="1:9" x14ac:dyDescent="0.3">
      <c r="A66" s="69" t="s">
        <v>107</v>
      </c>
      <c r="B66" s="70" t="s">
        <v>108</v>
      </c>
      <c r="C66" s="71" t="s">
        <v>109</v>
      </c>
      <c r="D66" s="36">
        <v>222000</v>
      </c>
      <c r="E66" s="37">
        <f>1.06*1.09</f>
        <v>1.1599999999999999</v>
      </c>
      <c r="F66" s="38">
        <f t="shared" si="13"/>
        <v>257520</v>
      </c>
      <c r="G66" s="36">
        <v>222000</v>
      </c>
      <c r="H66" s="91"/>
      <c r="I66" s="38">
        <f t="shared" si="14"/>
        <v>0</v>
      </c>
    </row>
    <row r="67" spans="1:9" x14ac:dyDescent="0.3">
      <c r="A67" s="69" t="s">
        <v>110</v>
      </c>
      <c r="B67" s="70" t="s">
        <v>8</v>
      </c>
      <c r="C67" s="71" t="s">
        <v>111</v>
      </c>
      <c r="D67" s="36">
        <v>2026.6</v>
      </c>
      <c r="E67" s="37">
        <f>1.06*20.85</f>
        <v>22.1</v>
      </c>
      <c r="F67" s="38">
        <f t="shared" si="13"/>
        <v>44787.86</v>
      </c>
      <c r="G67" s="36">
        <v>2026.6</v>
      </c>
      <c r="H67" s="91"/>
      <c r="I67" s="38">
        <f t="shared" si="14"/>
        <v>0</v>
      </c>
    </row>
    <row r="68" spans="1:9" ht="20.399999999999999" x14ac:dyDescent="0.3">
      <c r="A68" s="69" t="s">
        <v>112</v>
      </c>
      <c r="B68" s="70" t="s">
        <v>35</v>
      </c>
      <c r="C68" s="71" t="s">
        <v>113</v>
      </c>
      <c r="D68" s="36">
        <v>1020</v>
      </c>
      <c r="E68" s="37">
        <f>1.06*17.6</f>
        <v>18.66</v>
      </c>
      <c r="F68" s="38">
        <f t="shared" si="13"/>
        <v>19033.2</v>
      </c>
      <c r="G68" s="36">
        <v>1020</v>
      </c>
      <c r="H68" s="91"/>
      <c r="I68" s="38">
        <f t="shared" si="14"/>
        <v>0</v>
      </c>
    </row>
    <row r="69" spans="1:9" ht="20.399999999999999" x14ac:dyDescent="0.3">
      <c r="A69" s="69" t="s">
        <v>114</v>
      </c>
      <c r="B69" s="70" t="s">
        <v>8</v>
      </c>
      <c r="C69" s="71" t="s">
        <v>115</v>
      </c>
      <c r="D69" s="36">
        <v>68</v>
      </c>
      <c r="E69" s="37">
        <f>1.06*2.59</f>
        <v>2.75</v>
      </c>
      <c r="F69" s="38">
        <f t="shared" si="13"/>
        <v>187</v>
      </c>
      <c r="G69" s="36">
        <v>68</v>
      </c>
      <c r="H69" s="91"/>
      <c r="I69" s="38">
        <f t="shared" si="14"/>
        <v>0</v>
      </c>
    </row>
    <row r="70" spans="1:9" ht="20.399999999999999" x14ac:dyDescent="0.3">
      <c r="A70" s="69" t="s">
        <v>116</v>
      </c>
      <c r="B70" s="70" t="s">
        <v>48</v>
      </c>
      <c r="C70" s="71" t="s">
        <v>117</v>
      </c>
      <c r="D70" s="36">
        <v>1</v>
      </c>
      <c r="E70" s="37">
        <f>1.06*47169.81</f>
        <v>50000</v>
      </c>
      <c r="F70" s="38">
        <f t="shared" si="13"/>
        <v>50000</v>
      </c>
      <c r="G70" s="36">
        <v>1</v>
      </c>
      <c r="H70" s="95">
        <f>1.06*47169.81</f>
        <v>50000</v>
      </c>
      <c r="I70" s="38">
        <f t="shared" si="14"/>
        <v>50000</v>
      </c>
    </row>
    <row r="71" spans="1:9" x14ac:dyDescent="0.3">
      <c r="A71" s="72"/>
      <c r="B71" s="73"/>
      <c r="C71" s="74" t="s">
        <v>118</v>
      </c>
      <c r="D71" s="36">
        <v>1</v>
      </c>
      <c r="E71" s="40">
        <f>SUM(F63:F70)</f>
        <v>1554169.37</v>
      </c>
      <c r="F71" s="41">
        <f t="shared" si="13"/>
        <v>1554169.37</v>
      </c>
      <c r="G71" s="36">
        <v>1</v>
      </c>
      <c r="H71" s="92">
        <f>SUM(I63:I70)</f>
        <v>50000</v>
      </c>
      <c r="I71" s="41">
        <f t="shared" si="14"/>
        <v>50000</v>
      </c>
    </row>
    <row r="72" spans="1:9" ht="1.05" customHeight="1" x14ac:dyDescent="0.3">
      <c r="A72" s="42"/>
      <c r="B72" s="43"/>
      <c r="C72" s="75"/>
      <c r="D72" s="42"/>
      <c r="E72" s="43"/>
      <c r="F72" s="44"/>
      <c r="G72" s="42"/>
      <c r="H72" s="91"/>
      <c r="I72" s="44"/>
    </row>
    <row r="73" spans="1:9" x14ac:dyDescent="0.3">
      <c r="A73" s="76" t="s">
        <v>119</v>
      </c>
      <c r="B73" s="77" t="s">
        <v>5</v>
      </c>
      <c r="C73" s="78" t="s">
        <v>120</v>
      </c>
      <c r="D73" s="45">
        <f t="shared" ref="D73:I73" si="15">D78</f>
        <v>1</v>
      </c>
      <c r="E73" s="46">
        <f t="shared" si="15"/>
        <v>8337.07</v>
      </c>
      <c r="F73" s="47">
        <f t="shared" si="15"/>
        <v>8337.07</v>
      </c>
      <c r="G73" s="45">
        <f t="shared" si="15"/>
        <v>1</v>
      </c>
      <c r="H73" s="94">
        <f t="shared" si="15"/>
        <v>0</v>
      </c>
      <c r="I73" s="47">
        <f t="shared" si="15"/>
        <v>0</v>
      </c>
    </row>
    <row r="74" spans="1:9" ht="20.399999999999999" x14ac:dyDescent="0.3">
      <c r="A74" s="69" t="s">
        <v>613</v>
      </c>
      <c r="B74" s="70" t="s">
        <v>35</v>
      </c>
      <c r="C74" s="71" t="s">
        <v>121</v>
      </c>
      <c r="D74" s="36">
        <v>186</v>
      </c>
      <c r="E74" s="37">
        <f>1.06*0.88</f>
        <v>0.93</v>
      </c>
      <c r="F74" s="38">
        <f>ROUND(D74*E74,2)</f>
        <v>172.98</v>
      </c>
      <c r="G74" s="36">
        <v>186</v>
      </c>
      <c r="H74" s="91"/>
      <c r="I74" s="38">
        <f>ROUND(G74*H74,2)</f>
        <v>0</v>
      </c>
    </row>
    <row r="75" spans="1:9" x14ac:dyDescent="0.3">
      <c r="A75" s="69" t="s">
        <v>614</v>
      </c>
      <c r="B75" s="70" t="s">
        <v>8</v>
      </c>
      <c r="C75" s="71" t="s">
        <v>122</v>
      </c>
      <c r="D75" s="36">
        <v>1779</v>
      </c>
      <c r="E75" s="37">
        <f>1.06*3.5</f>
        <v>3.71</v>
      </c>
      <c r="F75" s="38">
        <f>ROUND(D75*E75,2)</f>
        <v>6600.09</v>
      </c>
      <c r="G75" s="36">
        <v>1779</v>
      </c>
      <c r="H75" s="91"/>
      <c r="I75" s="38">
        <f>ROUND(G75*H75,2)</f>
        <v>0</v>
      </c>
    </row>
    <row r="76" spans="1:9" ht="20.399999999999999" x14ac:dyDescent="0.3">
      <c r="A76" s="69" t="s">
        <v>615</v>
      </c>
      <c r="B76" s="70" t="s">
        <v>8</v>
      </c>
      <c r="C76" s="71" t="s">
        <v>123</v>
      </c>
      <c r="D76" s="36">
        <v>20</v>
      </c>
      <c r="E76" s="37">
        <f>1.06*2.71</f>
        <v>2.87</v>
      </c>
      <c r="F76" s="38">
        <f>ROUND(D76*E76,2)</f>
        <v>57.4</v>
      </c>
      <c r="G76" s="36">
        <v>20</v>
      </c>
      <c r="H76" s="91"/>
      <c r="I76" s="38">
        <f>ROUND(G76*H76,2)</f>
        <v>0</v>
      </c>
    </row>
    <row r="77" spans="1:9" ht="20.399999999999999" x14ac:dyDescent="0.3">
      <c r="A77" s="69" t="s">
        <v>616</v>
      </c>
      <c r="B77" s="70" t="s">
        <v>8</v>
      </c>
      <c r="C77" s="71" t="s">
        <v>124</v>
      </c>
      <c r="D77" s="36">
        <v>1860</v>
      </c>
      <c r="E77" s="37">
        <f>1.06*0.76</f>
        <v>0.81</v>
      </c>
      <c r="F77" s="38">
        <f>ROUND(D77*E77,2)</f>
        <v>1506.6</v>
      </c>
      <c r="G77" s="36">
        <v>1860</v>
      </c>
      <c r="H77" s="91"/>
      <c r="I77" s="38">
        <f>ROUND(G77*H77,2)</f>
        <v>0</v>
      </c>
    </row>
    <row r="78" spans="1:9" x14ac:dyDescent="0.3">
      <c r="A78" s="72"/>
      <c r="B78" s="73"/>
      <c r="C78" s="74" t="s">
        <v>125</v>
      </c>
      <c r="D78" s="36">
        <v>1</v>
      </c>
      <c r="E78" s="40">
        <f>SUM(F74:F77)</f>
        <v>8337.07</v>
      </c>
      <c r="F78" s="41">
        <f>ROUND(D78*E78,2)</f>
        <v>8337.07</v>
      </c>
      <c r="G78" s="36">
        <v>1</v>
      </c>
      <c r="H78" s="92">
        <f>SUM(I74:I77)</f>
        <v>0</v>
      </c>
      <c r="I78" s="41">
        <f>ROUND(G78*H78,2)</f>
        <v>0</v>
      </c>
    </row>
    <row r="79" spans="1:9" ht="1.05" customHeight="1" x14ac:dyDescent="0.3">
      <c r="A79" s="42"/>
      <c r="B79" s="43"/>
      <c r="C79" s="75"/>
      <c r="D79" s="42"/>
      <c r="E79" s="43"/>
      <c r="F79" s="44"/>
      <c r="G79" s="42"/>
      <c r="H79" s="91"/>
      <c r="I79" s="44"/>
    </row>
    <row r="80" spans="1:9" x14ac:dyDescent="0.3">
      <c r="A80" s="72"/>
      <c r="B80" s="73"/>
      <c r="C80" s="74" t="s">
        <v>126</v>
      </c>
      <c r="D80" s="39">
        <v>1</v>
      </c>
      <c r="E80" s="40">
        <f>F33+F62+F73</f>
        <v>2091700.96</v>
      </c>
      <c r="F80" s="41">
        <f>ROUND(D80*E80,2)</f>
        <v>2091700.96</v>
      </c>
      <c r="G80" s="39">
        <v>1</v>
      </c>
      <c r="H80" s="92">
        <f>I33+I62+I73</f>
        <v>70000</v>
      </c>
      <c r="I80" s="41">
        <f>ROUND(G80*H80,2)</f>
        <v>70000</v>
      </c>
    </row>
    <row r="81" spans="1:9" ht="1.05" customHeight="1" x14ac:dyDescent="0.3">
      <c r="A81" s="42"/>
      <c r="B81" s="43"/>
      <c r="C81" s="75"/>
      <c r="D81" s="42"/>
      <c r="E81" s="43"/>
      <c r="F81" s="44"/>
      <c r="G81" s="42"/>
      <c r="H81" s="91"/>
      <c r="I81" s="44"/>
    </row>
    <row r="82" spans="1:9" ht="20.399999999999999" x14ac:dyDescent="0.3">
      <c r="A82" s="66" t="s">
        <v>127</v>
      </c>
      <c r="B82" s="67" t="s">
        <v>5</v>
      </c>
      <c r="C82" s="68" t="s">
        <v>128</v>
      </c>
      <c r="D82" s="33">
        <f t="shared" ref="D82:I82" si="16">D89</f>
        <v>1</v>
      </c>
      <c r="E82" s="34">
        <f t="shared" si="16"/>
        <v>85000</v>
      </c>
      <c r="F82" s="35">
        <f t="shared" si="16"/>
        <v>85000</v>
      </c>
      <c r="G82" s="33">
        <f t="shared" si="16"/>
        <v>1</v>
      </c>
      <c r="H82" s="93">
        <f t="shared" si="16"/>
        <v>4091.5</v>
      </c>
      <c r="I82" s="35">
        <f t="shared" si="16"/>
        <v>4091.5</v>
      </c>
    </row>
    <row r="83" spans="1:9" x14ac:dyDescent="0.3">
      <c r="A83" s="69" t="s">
        <v>129</v>
      </c>
      <c r="B83" s="70" t="s">
        <v>145</v>
      </c>
      <c r="C83" s="102" t="s">
        <v>603</v>
      </c>
      <c r="D83" s="36">
        <v>150</v>
      </c>
      <c r="E83" s="37">
        <f>1.06*11.59</f>
        <v>12.29</v>
      </c>
      <c r="F83" s="38">
        <f t="shared" ref="F83:F89" si="17">ROUND(D83*E83,2)</f>
        <v>1843.5</v>
      </c>
      <c r="G83" s="36">
        <v>150</v>
      </c>
      <c r="H83" s="91"/>
      <c r="I83" s="38">
        <f t="shared" ref="I83:I89" si="18">ROUND(G83*H83,2)</f>
        <v>0</v>
      </c>
    </row>
    <row r="84" spans="1:9" ht="20.399999999999999" x14ac:dyDescent="0.3">
      <c r="A84" s="69" t="s">
        <v>608</v>
      </c>
      <c r="B84" s="70" t="s">
        <v>145</v>
      </c>
      <c r="C84" s="102" t="s">
        <v>604</v>
      </c>
      <c r="D84" s="36">
        <v>180</v>
      </c>
      <c r="E84" s="37">
        <f>1.06*104.82</f>
        <v>111.11</v>
      </c>
      <c r="F84" s="38">
        <f t="shared" si="17"/>
        <v>19999.8</v>
      </c>
      <c r="G84" s="36">
        <v>180</v>
      </c>
      <c r="H84" s="91"/>
      <c r="I84" s="38">
        <f t="shared" si="18"/>
        <v>0</v>
      </c>
    </row>
    <row r="85" spans="1:9" ht="20.399999999999999" x14ac:dyDescent="0.3">
      <c r="A85" s="69" t="s">
        <v>609</v>
      </c>
      <c r="B85" s="70" t="s">
        <v>145</v>
      </c>
      <c r="C85" s="102" t="s">
        <v>605</v>
      </c>
      <c r="D85" s="36">
        <v>180</v>
      </c>
      <c r="E85" s="37">
        <f>1.06*113.09</f>
        <v>119.88</v>
      </c>
      <c r="F85" s="38">
        <f t="shared" si="17"/>
        <v>21578.400000000001</v>
      </c>
      <c r="G85" s="36">
        <v>180</v>
      </c>
      <c r="H85" s="91"/>
      <c r="I85" s="38">
        <f t="shared" si="18"/>
        <v>0</v>
      </c>
    </row>
    <row r="86" spans="1:9" ht="20.399999999999999" x14ac:dyDescent="0.3">
      <c r="A86" s="69" t="s">
        <v>610</v>
      </c>
      <c r="B86" s="70" t="s">
        <v>145</v>
      </c>
      <c r="C86" s="102" t="s">
        <v>606</v>
      </c>
      <c r="D86" s="36">
        <v>180</v>
      </c>
      <c r="E86" s="37">
        <f>1.06*95.09</f>
        <v>100.8</v>
      </c>
      <c r="F86" s="38">
        <f t="shared" si="17"/>
        <v>18144</v>
      </c>
      <c r="G86" s="36">
        <v>180</v>
      </c>
      <c r="H86" s="91"/>
      <c r="I86" s="38">
        <f t="shared" si="18"/>
        <v>0</v>
      </c>
    </row>
    <row r="87" spans="1:9" ht="30.6" x14ac:dyDescent="0.3">
      <c r="A87" s="69" t="s">
        <v>612</v>
      </c>
      <c r="B87" s="70" t="s">
        <v>145</v>
      </c>
      <c r="C87" s="102" t="s">
        <v>648</v>
      </c>
      <c r="D87" s="36">
        <v>180</v>
      </c>
      <c r="E87" s="37">
        <f>1.06*101.38</f>
        <v>107.46</v>
      </c>
      <c r="F87" s="38">
        <f t="shared" si="17"/>
        <v>19342.8</v>
      </c>
      <c r="G87" s="36">
        <v>180</v>
      </c>
      <c r="H87" s="91"/>
      <c r="I87" s="38">
        <f t="shared" si="18"/>
        <v>0</v>
      </c>
    </row>
    <row r="88" spans="1:9" x14ac:dyDescent="0.3">
      <c r="A88" s="69" t="s">
        <v>611</v>
      </c>
      <c r="B88" s="70" t="s">
        <v>35</v>
      </c>
      <c r="C88" s="71" t="s">
        <v>607</v>
      </c>
      <c r="D88" s="36">
        <v>1</v>
      </c>
      <c r="E88" s="37">
        <f>3859.91*1.06</f>
        <v>4091.5</v>
      </c>
      <c r="F88" s="38">
        <f t="shared" si="17"/>
        <v>4091.5</v>
      </c>
      <c r="G88" s="36">
        <v>1</v>
      </c>
      <c r="H88" s="95">
        <v>4091.5</v>
      </c>
      <c r="I88" s="38">
        <f t="shared" si="18"/>
        <v>4091.5</v>
      </c>
    </row>
    <row r="89" spans="1:9" x14ac:dyDescent="0.3">
      <c r="A89" s="72"/>
      <c r="B89" s="73"/>
      <c r="C89" s="74" t="s">
        <v>130</v>
      </c>
      <c r="D89" s="39">
        <v>1</v>
      </c>
      <c r="E89" s="40">
        <f>SUM(F83:F88)</f>
        <v>85000</v>
      </c>
      <c r="F89" s="41">
        <f t="shared" si="17"/>
        <v>85000</v>
      </c>
      <c r="G89" s="39">
        <v>1</v>
      </c>
      <c r="H89" s="92">
        <f>SUM(I83:I88)</f>
        <v>4091.5</v>
      </c>
      <c r="I89" s="41">
        <f t="shared" si="18"/>
        <v>4091.5</v>
      </c>
    </row>
    <row r="90" spans="1:9" ht="1.05" customHeight="1" x14ac:dyDescent="0.3">
      <c r="A90" s="42"/>
      <c r="B90" s="43"/>
      <c r="C90" s="75"/>
      <c r="D90" s="42"/>
      <c r="E90" s="43"/>
      <c r="F90" s="44"/>
      <c r="G90" s="42"/>
      <c r="H90" s="91"/>
      <c r="I90" s="44"/>
    </row>
    <row r="91" spans="1:9" x14ac:dyDescent="0.3">
      <c r="A91" s="66" t="s">
        <v>131</v>
      </c>
      <c r="B91" s="67" t="s">
        <v>5</v>
      </c>
      <c r="C91" s="68" t="s">
        <v>132</v>
      </c>
      <c r="D91" s="33">
        <f t="shared" ref="D91:I91" si="19">D241</f>
        <v>1</v>
      </c>
      <c r="E91" s="34">
        <f t="shared" si="19"/>
        <v>125158.6</v>
      </c>
      <c r="F91" s="35">
        <f t="shared" si="19"/>
        <v>125158.6</v>
      </c>
      <c r="G91" s="33">
        <f t="shared" si="19"/>
        <v>1</v>
      </c>
      <c r="H91" s="93">
        <f t="shared" si="19"/>
        <v>45000</v>
      </c>
      <c r="I91" s="35">
        <f t="shared" si="19"/>
        <v>45000</v>
      </c>
    </row>
    <row r="92" spans="1:9" x14ac:dyDescent="0.3">
      <c r="A92" s="76" t="s">
        <v>133</v>
      </c>
      <c r="B92" s="77" t="s">
        <v>5</v>
      </c>
      <c r="C92" s="78" t="s">
        <v>134</v>
      </c>
      <c r="D92" s="45">
        <f t="shared" ref="D92:I92" si="20">D96</f>
        <v>1</v>
      </c>
      <c r="E92" s="46">
        <f t="shared" si="20"/>
        <v>827.62</v>
      </c>
      <c r="F92" s="47">
        <f t="shared" si="20"/>
        <v>827.62</v>
      </c>
      <c r="G92" s="45">
        <f t="shared" si="20"/>
        <v>1</v>
      </c>
      <c r="H92" s="94">
        <f t="shared" si="20"/>
        <v>0</v>
      </c>
      <c r="I92" s="47">
        <f t="shared" si="20"/>
        <v>0</v>
      </c>
    </row>
    <row r="93" spans="1:9" x14ac:dyDescent="0.3">
      <c r="A93" s="69" t="s">
        <v>135</v>
      </c>
      <c r="B93" s="70" t="s">
        <v>35</v>
      </c>
      <c r="C93" s="71" t="s">
        <v>136</v>
      </c>
      <c r="D93" s="36">
        <v>8</v>
      </c>
      <c r="E93" s="37">
        <f>1.06*57.09</f>
        <v>60.52</v>
      </c>
      <c r="F93" s="38">
        <f>ROUND(D93*E93,2)</f>
        <v>484.16</v>
      </c>
      <c r="G93" s="36">
        <v>8</v>
      </c>
      <c r="H93" s="91"/>
      <c r="I93" s="38">
        <f>ROUND(G93*H93,2)</f>
        <v>0</v>
      </c>
    </row>
    <row r="94" spans="1:9" x14ac:dyDescent="0.3">
      <c r="A94" s="69" t="s">
        <v>137</v>
      </c>
      <c r="B94" s="70" t="s">
        <v>35</v>
      </c>
      <c r="C94" s="71" t="s">
        <v>138</v>
      </c>
      <c r="D94" s="36">
        <v>2</v>
      </c>
      <c r="E94" s="37">
        <f>1.06*52.39</f>
        <v>55.53</v>
      </c>
      <c r="F94" s="38">
        <f>ROUND(D94*E94,2)</f>
        <v>111.06</v>
      </c>
      <c r="G94" s="36">
        <v>2</v>
      </c>
      <c r="H94" s="91"/>
      <c r="I94" s="38">
        <f>ROUND(G94*H94,2)</f>
        <v>0</v>
      </c>
    </row>
    <row r="95" spans="1:9" ht="20.399999999999999" x14ac:dyDescent="0.3">
      <c r="A95" s="69" t="s">
        <v>139</v>
      </c>
      <c r="B95" s="70" t="s">
        <v>35</v>
      </c>
      <c r="C95" s="71" t="s">
        <v>140</v>
      </c>
      <c r="D95" s="36">
        <v>8</v>
      </c>
      <c r="E95" s="37">
        <f>1.06*27.41</f>
        <v>29.05</v>
      </c>
      <c r="F95" s="38">
        <f>ROUND(D95*E95,2)</f>
        <v>232.4</v>
      </c>
      <c r="G95" s="36">
        <v>8</v>
      </c>
      <c r="H95" s="91"/>
      <c r="I95" s="38">
        <f>ROUND(G95*H95,2)</f>
        <v>0</v>
      </c>
    </row>
    <row r="96" spans="1:9" x14ac:dyDescent="0.3">
      <c r="A96" s="72"/>
      <c r="B96" s="73"/>
      <c r="C96" s="74" t="s">
        <v>141</v>
      </c>
      <c r="D96" s="36">
        <v>1</v>
      </c>
      <c r="E96" s="40">
        <f>SUM(F93:F95)</f>
        <v>827.62</v>
      </c>
      <c r="F96" s="41">
        <f>ROUND(D96*E96,2)</f>
        <v>827.62</v>
      </c>
      <c r="G96" s="36">
        <v>1</v>
      </c>
      <c r="H96" s="92">
        <f>SUM(I93:I95)</f>
        <v>0</v>
      </c>
      <c r="I96" s="41">
        <f>ROUND(G96*H96,2)</f>
        <v>0</v>
      </c>
    </row>
    <row r="97" spans="1:9" ht="1.05" customHeight="1" x14ac:dyDescent="0.3">
      <c r="A97" s="42"/>
      <c r="B97" s="43"/>
      <c r="C97" s="75"/>
      <c r="D97" s="42"/>
      <c r="E97" s="43"/>
      <c r="F97" s="44"/>
      <c r="G97" s="42"/>
      <c r="H97" s="91"/>
      <c r="I97" s="44"/>
    </row>
    <row r="98" spans="1:9" x14ac:dyDescent="0.3">
      <c r="A98" s="76" t="s">
        <v>142</v>
      </c>
      <c r="B98" s="77" t="s">
        <v>5</v>
      </c>
      <c r="C98" s="78" t="s">
        <v>143</v>
      </c>
      <c r="D98" s="45">
        <f t="shared" ref="D98:I98" si="21">D110</f>
        <v>1</v>
      </c>
      <c r="E98" s="46">
        <f t="shared" si="21"/>
        <v>93195.06</v>
      </c>
      <c r="F98" s="47">
        <f t="shared" si="21"/>
        <v>93195.06</v>
      </c>
      <c r="G98" s="45">
        <f t="shared" si="21"/>
        <v>1</v>
      </c>
      <c r="H98" s="94">
        <f t="shared" si="21"/>
        <v>35000</v>
      </c>
      <c r="I98" s="47">
        <f t="shared" si="21"/>
        <v>35000</v>
      </c>
    </row>
    <row r="99" spans="1:9" ht="20.399999999999999" x14ac:dyDescent="0.3">
      <c r="A99" s="69" t="s">
        <v>144</v>
      </c>
      <c r="B99" s="70" t="s">
        <v>145</v>
      </c>
      <c r="C99" s="71" t="s">
        <v>146</v>
      </c>
      <c r="D99" s="36">
        <v>120</v>
      </c>
      <c r="E99" s="37">
        <f>1.06*84.33</f>
        <v>89.39</v>
      </c>
      <c r="F99" s="38">
        <f t="shared" ref="F99:F110" si="22">ROUND(D99*E99,2)</f>
        <v>10726.8</v>
      </c>
      <c r="G99" s="36">
        <v>120</v>
      </c>
      <c r="H99" s="91"/>
      <c r="I99" s="38">
        <f t="shared" ref="I99:I110" si="23">ROUND(G99*H99,2)</f>
        <v>0</v>
      </c>
    </row>
    <row r="100" spans="1:9" ht="20.399999999999999" x14ac:dyDescent="0.3">
      <c r="A100" s="69" t="s">
        <v>147</v>
      </c>
      <c r="B100" s="70" t="s">
        <v>145</v>
      </c>
      <c r="C100" s="71" t="s">
        <v>148</v>
      </c>
      <c r="D100" s="36">
        <v>100</v>
      </c>
      <c r="E100" s="37">
        <f>1.06*56.14</f>
        <v>59.51</v>
      </c>
      <c r="F100" s="38">
        <f t="shared" si="22"/>
        <v>5951</v>
      </c>
      <c r="G100" s="36">
        <v>100</v>
      </c>
      <c r="H100" s="91"/>
      <c r="I100" s="38">
        <f t="shared" si="23"/>
        <v>0</v>
      </c>
    </row>
    <row r="101" spans="1:9" ht="30.6" x14ac:dyDescent="0.3">
      <c r="A101" s="69" t="s">
        <v>149</v>
      </c>
      <c r="B101" s="70" t="s">
        <v>35</v>
      </c>
      <c r="C101" s="71" t="s">
        <v>150</v>
      </c>
      <c r="D101" s="36">
        <v>2</v>
      </c>
      <c r="E101" s="37">
        <f>1.06*7500</f>
        <v>7950</v>
      </c>
      <c r="F101" s="38">
        <f t="shared" si="22"/>
        <v>15900</v>
      </c>
      <c r="G101" s="36">
        <v>2</v>
      </c>
      <c r="H101" s="91"/>
      <c r="I101" s="38">
        <f t="shared" si="23"/>
        <v>0</v>
      </c>
    </row>
    <row r="102" spans="1:9" ht="30.6" x14ac:dyDescent="0.3">
      <c r="A102" s="69" t="s">
        <v>151</v>
      </c>
      <c r="B102" s="70" t="s">
        <v>145</v>
      </c>
      <c r="C102" s="71" t="s">
        <v>152</v>
      </c>
      <c r="D102" s="36">
        <v>50</v>
      </c>
      <c r="E102" s="37">
        <f>1.06*96.31</f>
        <v>102.09</v>
      </c>
      <c r="F102" s="38">
        <f t="shared" si="22"/>
        <v>5104.5</v>
      </c>
      <c r="G102" s="36">
        <v>50</v>
      </c>
      <c r="H102" s="91"/>
      <c r="I102" s="38">
        <f t="shared" si="23"/>
        <v>0</v>
      </c>
    </row>
    <row r="103" spans="1:9" ht="20.399999999999999" x14ac:dyDescent="0.3">
      <c r="A103" s="69" t="s">
        <v>153</v>
      </c>
      <c r="B103" s="70" t="s">
        <v>145</v>
      </c>
      <c r="C103" s="71" t="s">
        <v>154</v>
      </c>
      <c r="D103" s="36">
        <v>2</v>
      </c>
      <c r="E103" s="53">
        <f>1.06*180.83</f>
        <v>191.68</v>
      </c>
      <c r="F103" s="38">
        <f t="shared" si="22"/>
        <v>383.36</v>
      </c>
      <c r="G103" s="36">
        <v>2</v>
      </c>
      <c r="H103" s="91"/>
      <c r="I103" s="38">
        <f t="shared" si="23"/>
        <v>0</v>
      </c>
    </row>
    <row r="104" spans="1:9" x14ac:dyDescent="0.3">
      <c r="A104" s="69" t="s">
        <v>155</v>
      </c>
      <c r="B104" s="70" t="s">
        <v>11</v>
      </c>
      <c r="C104" s="71" t="s">
        <v>156</v>
      </c>
      <c r="D104" s="36">
        <v>6</v>
      </c>
      <c r="E104" s="37">
        <f>1.06*120</f>
        <v>127.2</v>
      </c>
      <c r="F104" s="38">
        <f t="shared" si="22"/>
        <v>763.2</v>
      </c>
      <c r="G104" s="36">
        <v>6</v>
      </c>
      <c r="H104" s="91"/>
      <c r="I104" s="38">
        <f t="shared" si="23"/>
        <v>0</v>
      </c>
    </row>
    <row r="105" spans="1:9" x14ac:dyDescent="0.3">
      <c r="A105" s="69" t="s">
        <v>157</v>
      </c>
      <c r="B105" s="70" t="s">
        <v>11</v>
      </c>
      <c r="C105" s="71" t="s">
        <v>158</v>
      </c>
      <c r="D105" s="36">
        <v>6</v>
      </c>
      <c r="E105" s="37">
        <f>1.06*900</f>
        <v>954</v>
      </c>
      <c r="F105" s="38">
        <f t="shared" si="22"/>
        <v>5724</v>
      </c>
      <c r="G105" s="36">
        <v>6</v>
      </c>
      <c r="H105" s="91"/>
      <c r="I105" s="38">
        <f t="shared" si="23"/>
        <v>0</v>
      </c>
    </row>
    <row r="106" spans="1:9" x14ac:dyDescent="0.3">
      <c r="A106" s="69" t="s">
        <v>159</v>
      </c>
      <c r="B106" s="70" t="s">
        <v>11</v>
      </c>
      <c r="C106" s="71" t="s">
        <v>160</v>
      </c>
      <c r="D106" s="36">
        <v>6</v>
      </c>
      <c r="E106" s="37">
        <f>1.06*200</f>
        <v>212</v>
      </c>
      <c r="F106" s="38">
        <f t="shared" si="22"/>
        <v>1272</v>
      </c>
      <c r="G106" s="36">
        <v>6</v>
      </c>
      <c r="H106" s="91"/>
      <c r="I106" s="38">
        <f t="shared" si="23"/>
        <v>0</v>
      </c>
    </row>
    <row r="107" spans="1:9" x14ac:dyDescent="0.3">
      <c r="A107" s="69" t="s">
        <v>161</v>
      </c>
      <c r="B107" s="70" t="s">
        <v>11</v>
      </c>
      <c r="C107" s="71" t="s">
        <v>162</v>
      </c>
      <c r="D107" s="36">
        <v>6</v>
      </c>
      <c r="E107" s="37">
        <f>1.06*350</f>
        <v>371</v>
      </c>
      <c r="F107" s="38">
        <f t="shared" si="22"/>
        <v>2226</v>
      </c>
      <c r="G107" s="36">
        <v>6</v>
      </c>
      <c r="H107" s="91"/>
      <c r="I107" s="38">
        <f t="shared" si="23"/>
        <v>0</v>
      </c>
    </row>
    <row r="108" spans="1:9" x14ac:dyDescent="0.3">
      <c r="A108" s="69" t="s">
        <v>163</v>
      </c>
      <c r="B108" s="70" t="s">
        <v>11</v>
      </c>
      <c r="C108" s="71" t="s">
        <v>164</v>
      </c>
      <c r="D108" s="36">
        <v>6</v>
      </c>
      <c r="E108" s="37">
        <f>1.06*1595</f>
        <v>1690.7</v>
      </c>
      <c r="F108" s="38">
        <f t="shared" si="22"/>
        <v>10144.200000000001</v>
      </c>
      <c r="G108" s="36">
        <v>6</v>
      </c>
      <c r="H108" s="91"/>
      <c r="I108" s="38">
        <f t="shared" si="23"/>
        <v>0</v>
      </c>
    </row>
    <row r="109" spans="1:9" ht="20.399999999999999" x14ac:dyDescent="0.3">
      <c r="A109" s="69" t="s">
        <v>165</v>
      </c>
      <c r="B109" s="70" t="s">
        <v>48</v>
      </c>
      <c r="C109" s="71" t="s">
        <v>166</v>
      </c>
      <c r="D109" s="36">
        <v>1</v>
      </c>
      <c r="E109" s="37">
        <f>1.06*33018.87</f>
        <v>35000</v>
      </c>
      <c r="F109" s="38">
        <f t="shared" si="22"/>
        <v>35000</v>
      </c>
      <c r="G109" s="36">
        <v>1</v>
      </c>
      <c r="H109" s="95">
        <f>1.06*33018.87</f>
        <v>35000</v>
      </c>
      <c r="I109" s="38">
        <f t="shared" si="23"/>
        <v>35000</v>
      </c>
    </row>
    <row r="110" spans="1:9" x14ac:dyDescent="0.3">
      <c r="A110" s="72"/>
      <c r="B110" s="73"/>
      <c r="C110" s="74" t="s">
        <v>167</v>
      </c>
      <c r="D110" s="36">
        <v>1</v>
      </c>
      <c r="E110" s="40">
        <f>SUM(F99:F109)</f>
        <v>93195.06</v>
      </c>
      <c r="F110" s="41">
        <f t="shared" si="22"/>
        <v>93195.06</v>
      </c>
      <c r="G110" s="36">
        <v>1</v>
      </c>
      <c r="H110" s="92">
        <f>SUM(I99:I109)</f>
        <v>35000</v>
      </c>
      <c r="I110" s="41">
        <f t="shared" si="23"/>
        <v>35000</v>
      </c>
    </row>
    <row r="111" spans="1:9" ht="1.05" customHeight="1" x14ac:dyDescent="0.3">
      <c r="A111" s="42"/>
      <c r="B111" s="43"/>
      <c r="C111" s="75"/>
      <c r="D111" s="42"/>
      <c r="E111" s="43"/>
      <c r="F111" s="44"/>
      <c r="G111" s="42"/>
      <c r="H111" s="91"/>
      <c r="I111" s="44"/>
    </row>
    <row r="112" spans="1:9" x14ac:dyDescent="0.3">
      <c r="A112" s="76" t="s">
        <v>168</v>
      </c>
      <c r="B112" s="77" t="s">
        <v>5</v>
      </c>
      <c r="C112" s="78" t="s">
        <v>169</v>
      </c>
      <c r="D112" s="45">
        <f t="shared" ref="D112:I112" si="24">D239</f>
        <v>1</v>
      </c>
      <c r="E112" s="46">
        <f t="shared" si="24"/>
        <v>31135.919999999998</v>
      </c>
      <c r="F112" s="47">
        <f t="shared" si="24"/>
        <v>31135.919999999998</v>
      </c>
      <c r="G112" s="45">
        <f t="shared" si="24"/>
        <v>1</v>
      </c>
      <c r="H112" s="94">
        <f t="shared" si="24"/>
        <v>10000</v>
      </c>
      <c r="I112" s="47">
        <f t="shared" si="24"/>
        <v>10000</v>
      </c>
    </row>
    <row r="113" spans="1:9" x14ac:dyDescent="0.3">
      <c r="A113" s="79" t="s">
        <v>170</v>
      </c>
      <c r="B113" s="80" t="s">
        <v>5</v>
      </c>
      <c r="C113" s="81" t="s">
        <v>171</v>
      </c>
      <c r="D113" s="50">
        <f t="shared" ref="D113:I113" si="25">D165</f>
        <v>1</v>
      </c>
      <c r="E113" s="51">
        <f t="shared" si="25"/>
        <v>12783.12</v>
      </c>
      <c r="F113" s="52">
        <f t="shared" si="25"/>
        <v>12783.12</v>
      </c>
      <c r="G113" s="50">
        <f t="shared" si="25"/>
        <v>1</v>
      </c>
      <c r="H113" s="97">
        <f t="shared" si="25"/>
        <v>0</v>
      </c>
      <c r="I113" s="52">
        <f t="shared" si="25"/>
        <v>0</v>
      </c>
    </row>
    <row r="114" spans="1:9" x14ac:dyDescent="0.3">
      <c r="A114" s="82" t="s">
        <v>172</v>
      </c>
      <c r="B114" s="83" t="s">
        <v>5</v>
      </c>
      <c r="C114" s="84" t="s">
        <v>173</v>
      </c>
      <c r="D114" s="54">
        <f t="shared" ref="D114:I114" si="26">D121</f>
        <v>1</v>
      </c>
      <c r="E114" s="55">
        <f t="shared" si="26"/>
        <v>4484.2</v>
      </c>
      <c r="F114" s="56">
        <f t="shared" si="26"/>
        <v>4484.2</v>
      </c>
      <c r="G114" s="54">
        <f t="shared" si="26"/>
        <v>1</v>
      </c>
      <c r="H114" s="98">
        <f t="shared" si="26"/>
        <v>0</v>
      </c>
      <c r="I114" s="56">
        <f t="shared" si="26"/>
        <v>0</v>
      </c>
    </row>
    <row r="115" spans="1:9" x14ac:dyDescent="0.3">
      <c r="A115" s="69" t="s">
        <v>174</v>
      </c>
      <c r="B115" s="70" t="s">
        <v>35</v>
      </c>
      <c r="C115" s="71" t="s">
        <v>175</v>
      </c>
      <c r="D115" s="36">
        <v>1150</v>
      </c>
      <c r="E115" s="37">
        <f>1.06*0.5</f>
        <v>0.53</v>
      </c>
      <c r="F115" s="38">
        <f t="shared" ref="F115:F121" si="27">ROUND(D115*E115,2)</f>
        <v>609.5</v>
      </c>
      <c r="G115" s="36">
        <v>1150</v>
      </c>
      <c r="H115" s="91"/>
      <c r="I115" s="38">
        <f t="shared" ref="I115:I121" si="28">ROUND(G115*H115,2)</f>
        <v>0</v>
      </c>
    </row>
    <row r="116" spans="1:9" x14ac:dyDescent="0.3">
      <c r="A116" s="69" t="s">
        <v>176</v>
      </c>
      <c r="B116" s="70" t="s">
        <v>35</v>
      </c>
      <c r="C116" s="71" t="s">
        <v>177</v>
      </c>
      <c r="D116" s="36">
        <v>15</v>
      </c>
      <c r="E116" s="37">
        <f>1.06*1.3</f>
        <v>1.38</v>
      </c>
      <c r="F116" s="38">
        <f t="shared" si="27"/>
        <v>20.7</v>
      </c>
      <c r="G116" s="36">
        <v>15</v>
      </c>
      <c r="H116" s="91"/>
      <c r="I116" s="38">
        <f t="shared" si="28"/>
        <v>0</v>
      </c>
    </row>
    <row r="117" spans="1:9" x14ac:dyDescent="0.3">
      <c r="A117" s="69" t="s">
        <v>178</v>
      </c>
      <c r="B117" s="70" t="s">
        <v>35</v>
      </c>
      <c r="C117" s="71" t="s">
        <v>179</v>
      </c>
      <c r="D117" s="36">
        <v>1100</v>
      </c>
      <c r="E117" s="37">
        <f>1.06*0.2</f>
        <v>0.21</v>
      </c>
      <c r="F117" s="38">
        <f t="shared" si="27"/>
        <v>231</v>
      </c>
      <c r="G117" s="36">
        <v>1100</v>
      </c>
      <c r="H117" s="91"/>
      <c r="I117" s="38">
        <f t="shared" si="28"/>
        <v>0</v>
      </c>
    </row>
    <row r="118" spans="1:9" x14ac:dyDescent="0.3">
      <c r="A118" s="69" t="s">
        <v>180</v>
      </c>
      <c r="B118" s="70" t="s">
        <v>35</v>
      </c>
      <c r="C118" s="71" t="s">
        <v>181</v>
      </c>
      <c r="D118" s="36">
        <v>400</v>
      </c>
      <c r="E118" s="37">
        <f>1.06*4</f>
        <v>4.24</v>
      </c>
      <c r="F118" s="38">
        <f t="shared" si="27"/>
        <v>1696</v>
      </c>
      <c r="G118" s="36">
        <v>400</v>
      </c>
      <c r="H118" s="91"/>
      <c r="I118" s="38">
        <f t="shared" si="28"/>
        <v>0</v>
      </c>
    </row>
    <row r="119" spans="1:9" x14ac:dyDescent="0.3">
      <c r="A119" s="69" t="s">
        <v>182</v>
      </c>
      <c r="B119" s="70" t="s">
        <v>35</v>
      </c>
      <c r="C119" s="71" t="s">
        <v>183</v>
      </c>
      <c r="D119" s="36">
        <v>1100</v>
      </c>
      <c r="E119" s="37">
        <f>1.06*0.2</f>
        <v>0.21</v>
      </c>
      <c r="F119" s="38">
        <f t="shared" si="27"/>
        <v>231</v>
      </c>
      <c r="G119" s="36">
        <v>1100</v>
      </c>
      <c r="H119" s="91"/>
      <c r="I119" s="38">
        <f t="shared" si="28"/>
        <v>0</v>
      </c>
    </row>
    <row r="120" spans="1:9" x14ac:dyDescent="0.3">
      <c r="A120" s="69" t="s">
        <v>184</v>
      </c>
      <c r="B120" s="70" t="s">
        <v>35</v>
      </c>
      <c r="C120" s="71" t="s">
        <v>185</v>
      </c>
      <c r="D120" s="36">
        <v>400</v>
      </c>
      <c r="E120" s="37">
        <f>1.06*4</f>
        <v>4.24</v>
      </c>
      <c r="F120" s="38">
        <f t="shared" si="27"/>
        <v>1696</v>
      </c>
      <c r="G120" s="36">
        <v>400</v>
      </c>
      <c r="H120" s="91"/>
      <c r="I120" s="38">
        <f t="shared" si="28"/>
        <v>0</v>
      </c>
    </row>
    <row r="121" spans="1:9" x14ac:dyDescent="0.3">
      <c r="A121" s="72"/>
      <c r="B121" s="73"/>
      <c r="C121" s="74" t="s">
        <v>186</v>
      </c>
      <c r="D121" s="36">
        <v>1</v>
      </c>
      <c r="E121" s="40">
        <f>SUM(F115:F120)</f>
        <v>4484.2</v>
      </c>
      <c r="F121" s="41">
        <f t="shared" si="27"/>
        <v>4484.2</v>
      </c>
      <c r="G121" s="36">
        <v>1</v>
      </c>
      <c r="H121" s="92">
        <f>SUM(I115:I120)</f>
        <v>0</v>
      </c>
      <c r="I121" s="41">
        <f t="shared" si="28"/>
        <v>0</v>
      </c>
    </row>
    <row r="122" spans="1:9" ht="1.05" customHeight="1" x14ac:dyDescent="0.3">
      <c r="A122" s="42"/>
      <c r="B122" s="43"/>
      <c r="C122" s="75"/>
      <c r="D122" s="42"/>
      <c r="E122" s="43"/>
      <c r="F122" s="44"/>
      <c r="G122" s="42"/>
      <c r="H122" s="91"/>
      <c r="I122" s="44"/>
    </row>
    <row r="123" spans="1:9" x14ac:dyDescent="0.3">
      <c r="A123" s="82" t="s">
        <v>187</v>
      </c>
      <c r="B123" s="83" t="s">
        <v>5</v>
      </c>
      <c r="C123" s="84" t="s">
        <v>188</v>
      </c>
      <c r="D123" s="54">
        <f t="shared" ref="D123:I123" si="29">D130</f>
        <v>1</v>
      </c>
      <c r="E123" s="55">
        <f t="shared" si="29"/>
        <v>937.04</v>
      </c>
      <c r="F123" s="56">
        <f t="shared" si="29"/>
        <v>937.04</v>
      </c>
      <c r="G123" s="54">
        <f t="shared" si="29"/>
        <v>1</v>
      </c>
      <c r="H123" s="98">
        <f t="shared" si="29"/>
        <v>0</v>
      </c>
      <c r="I123" s="56">
        <f t="shared" si="29"/>
        <v>0</v>
      </c>
    </row>
    <row r="124" spans="1:9" x14ac:dyDescent="0.3">
      <c r="A124" s="69" t="s">
        <v>189</v>
      </c>
      <c r="B124" s="70" t="s">
        <v>35</v>
      </c>
      <c r="C124" s="71" t="s">
        <v>190</v>
      </c>
      <c r="D124" s="36">
        <v>40</v>
      </c>
      <c r="E124" s="37">
        <f>1.06*10</f>
        <v>10.6</v>
      </c>
      <c r="F124" s="38">
        <f t="shared" ref="F124:F130" si="30">ROUND(D124*E124,2)</f>
        <v>424</v>
      </c>
      <c r="G124" s="36">
        <v>40</v>
      </c>
      <c r="H124" s="91"/>
      <c r="I124" s="38">
        <f t="shared" ref="I124:I130" si="31">ROUND(G124*H124,2)</f>
        <v>0</v>
      </c>
    </row>
    <row r="125" spans="1:9" x14ac:dyDescent="0.3">
      <c r="A125" s="69" t="s">
        <v>191</v>
      </c>
      <c r="B125" s="70" t="s">
        <v>35</v>
      </c>
      <c r="C125" s="71" t="s">
        <v>192</v>
      </c>
      <c r="D125" s="36">
        <v>40</v>
      </c>
      <c r="E125" s="37">
        <f>1.06*10</f>
        <v>10.6</v>
      </c>
      <c r="F125" s="38">
        <f t="shared" si="30"/>
        <v>424</v>
      </c>
      <c r="G125" s="36">
        <v>40</v>
      </c>
      <c r="H125" s="91"/>
      <c r="I125" s="38">
        <f t="shared" si="31"/>
        <v>0</v>
      </c>
    </row>
    <row r="126" spans="1:9" x14ac:dyDescent="0.3">
      <c r="A126" s="69" t="s">
        <v>193</v>
      </c>
      <c r="B126" s="70" t="s">
        <v>35</v>
      </c>
      <c r="C126" s="71" t="s">
        <v>194</v>
      </c>
      <c r="D126" s="36">
        <v>7</v>
      </c>
      <c r="E126" s="37">
        <f>1.06*3</f>
        <v>3.18</v>
      </c>
      <c r="F126" s="38">
        <f t="shared" si="30"/>
        <v>22.26</v>
      </c>
      <c r="G126" s="36">
        <v>7</v>
      </c>
      <c r="H126" s="91"/>
      <c r="I126" s="38">
        <f t="shared" si="31"/>
        <v>0</v>
      </c>
    </row>
    <row r="127" spans="1:9" x14ac:dyDescent="0.3">
      <c r="A127" s="69" t="s">
        <v>195</v>
      </c>
      <c r="B127" s="70" t="s">
        <v>35</v>
      </c>
      <c r="C127" s="71" t="s">
        <v>196</v>
      </c>
      <c r="D127" s="36">
        <v>7</v>
      </c>
      <c r="E127" s="37">
        <f>1.06*3</f>
        <v>3.18</v>
      </c>
      <c r="F127" s="38">
        <f t="shared" si="30"/>
        <v>22.26</v>
      </c>
      <c r="G127" s="36">
        <v>7</v>
      </c>
      <c r="H127" s="91"/>
      <c r="I127" s="38">
        <f t="shared" si="31"/>
        <v>0</v>
      </c>
    </row>
    <row r="128" spans="1:9" x14ac:dyDescent="0.3">
      <c r="A128" s="69" t="s">
        <v>197</v>
      </c>
      <c r="B128" s="70" t="s">
        <v>35</v>
      </c>
      <c r="C128" s="71" t="s">
        <v>198</v>
      </c>
      <c r="D128" s="36">
        <v>7</v>
      </c>
      <c r="E128" s="37">
        <f>1.06*3</f>
        <v>3.18</v>
      </c>
      <c r="F128" s="38">
        <f t="shared" si="30"/>
        <v>22.26</v>
      </c>
      <c r="G128" s="36">
        <v>7</v>
      </c>
      <c r="H128" s="91"/>
      <c r="I128" s="38">
        <f t="shared" si="31"/>
        <v>0</v>
      </c>
    </row>
    <row r="129" spans="1:9" x14ac:dyDescent="0.3">
      <c r="A129" s="69" t="s">
        <v>199</v>
      </c>
      <c r="B129" s="70" t="s">
        <v>35</v>
      </c>
      <c r="C129" s="71" t="s">
        <v>200</v>
      </c>
      <c r="D129" s="36">
        <v>7</v>
      </c>
      <c r="E129" s="37">
        <f>1.06*3</f>
        <v>3.18</v>
      </c>
      <c r="F129" s="38">
        <f t="shared" si="30"/>
        <v>22.26</v>
      </c>
      <c r="G129" s="36">
        <v>7</v>
      </c>
      <c r="H129" s="91"/>
      <c r="I129" s="38">
        <f t="shared" si="31"/>
        <v>0</v>
      </c>
    </row>
    <row r="130" spans="1:9" x14ac:dyDescent="0.3">
      <c r="A130" s="72"/>
      <c r="B130" s="73"/>
      <c r="C130" s="74" t="s">
        <v>201</v>
      </c>
      <c r="D130" s="36">
        <v>1</v>
      </c>
      <c r="E130" s="40">
        <f>SUM(F124:F129)</f>
        <v>937.04</v>
      </c>
      <c r="F130" s="41">
        <f t="shared" si="30"/>
        <v>937.04</v>
      </c>
      <c r="G130" s="36">
        <v>1</v>
      </c>
      <c r="H130" s="92">
        <f>SUM(I124:I129)</f>
        <v>0</v>
      </c>
      <c r="I130" s="41">
        <f t="shared" si="31"/>
        <v>0</v>
      </c>
    </row>
    <row r="131" spans="1:9" ht="1.05" customHeight="1" x14ac:dyDescent="0.3">
      <c r="A131" s="42"/>
      <c r="B131" s="43"/>
      <c r="C131" s="75"/>
      <c r="D131" s="42"/>
      <c r="E131" s="43"/>
      <c r="F131" s="44"/>
      <c r="G131" s="42"/>
      <c r="H131" s="91"/>
      <c r="I131" s="44"/>
    </row>
    <row r="132" spans="1:9" x14ac:dyDescent="0.3">
      <c r="A132" s="82" t="s">
        <v>202</v>
      </c>
      <c r="B132" s="83" t="s">
        <v>5</v>
      </c>
      <c r="C132" s="84" t="s">
        <v>203</v>
      </c>
      <c r="D132" s="54">
        <f t="shared" ref="D132:I132" si="32">D143</f>
        <v>1</v>
      </c>
      <c r="E132" s="55">
        <f t="shared" si="32"/>
        <v>2587.52</v>
      </c>
      <c r="F132" s="56">
        <f t="shared" si="32"/>
        <v>2587.52</v>
      </c>
      <c r="G132" s="54">
        <f t="shared" si="32"/>
        <v>1</v>
      </c>
      <c r="H132" s="98">
        <f t="shared" si="32"/>
        <v>0</v>
      </c>
      <c r="I132" s="56">
        <f t="shared" si="32"/>
        <v>0</v>
      </c>
    </row>
    <row r="133" spans="1:9" x14ac:dyDescent="0.3">
      <c r="A133" s="69" t="s">
        <v>204</v>
      </c>
      <c r="B133" s="70" t="s">
        <v>35</v>
      </c>
      <c r="C133" s="71" t="s">
        <v>205</v>
      </c>
      <c r="D133" s="36">
        <v>2</v>
      </c>
      <c r="E133" s="37">
        <f>1.06*11</f>
        <v>11.66</v>
      </c>
      <c r="F133" s="38">
        <f t="shared" ref="F133:F143" si="33">ROUND(D133*E133,2)</f>
        <v>23.32</v>
      </c>
      <c r="G133" s="36">
        <v>2</v>
      </c>
      <c r="H133" s="91"/>
      <c r="I133" s="38">
        <f t="shared" ref="I133:I143" si="34">ROUND(G133*H133,2)</f>
        <v>0</v>
      </c>
    </row>
    <row r="134" spans="1:9" x14ac:dyDescent="0.3">
      <c r="A134" s="69" t="s">
        <v>206</v>
      </c>
      <c r="B134" s="70" t="s">
        <v>35</v>
      </c>
      <c r="C134" s="71" t="s">
        <v>207</v>
      </c>
      <c r="D134" s="36">
        <v>6</v>
      </c>
      <c r="E134" s="37">
        <f>1.06*25</f>
        <v>26.5</v>
      </c>
      <c r="F134" s="38">
        <f t="shared" si="33"/>
        <v>159</v>
      </c>
      <c r="G134" s="36">
        <v>6</v>
      </c>
      <c r="H134" s="91"/>
      <c r="I134" s="38">
        <f t="shared" si="34"/>
        <v>0</v>
      </c>
    </row>
    <row r="135" spans="1:9" x14ac:dyDescent="0.3">
      <c r="A135" s="69" t="s">
        <v>208</v>
      </c>
      <c r="B135" s="70" t="s">
        <v>35</v>
      </c>
      <c r="C135" s="71" t="s">
        <v>209</v>
      </c>
      <c r="D135" s="36">
        <v>60</v>
      </c>
      <c r="E135" s="37">
        <f>1.06*11</f>
        <v>11.66</v>
      </c>
      <c r="F135" s="38">
        <f t="shared" si="33"/>
        <v>699.6</v>
      </c>
      <c r="G135" s="36">
        <v>60</v>
      </c>
      <c r="H135" s="91"/>
      <c r="I135" s="38">
        <f t="shared" si="34"/>
        <v>0</v>
      </c>
    </row>
    <row r="136" spans="1:9" x14ac:dyDescent="0.3">
      <c r="A136" s="69" t="s">
        <v>210</v>
      </c>
      <c r="B136" s="70" t="s">
        <v>35</v>
      </c>
      <c r="C136" s="71" t="s">
        <v>211</v>
      </c>
      <c r="D136" s="36">
        <v>10</v>
      </c>
      <c r="E136" s="37">
        <f>1.06*25</f>
        <v>26.5</v>
      </c>
      <c r="F136" s="38">
        <f t="shared" si="33"/>
        <v>265</v>
      </c>
      <c r="G136" s="36">
        <v>10</v>
      </c>
      <c r="H136" s="91"/>
      <c r="I136" s="38">
        <f t="shared" si="34"/>
        <v>0</v>
      </c>
    </row>
    <row r="137" spans="1:9" x14ac:dyDescent="0.3">
      <c r="A137" s="69" t="s">
        <v>212</v>
      </c>
      <c r="B137" s="70" t="s">
        <v>35</v>
      </c>
      <c r="C137" s="71" t="s">
        <v>213</v>
      </c>
      <c r="D137" s="36">
        <v>15</v>
      </c>
      <c r="E137" s="37">
        <f>1.06*78</f>
        <v>82.68</v>
      </c>
      <c r="F137" s="38">
        <f t="shared" si="33"/>
        <v>1240.2</v>
      </c>
      <c r="G137" s="36">
        <v>15</v>
      </c>
      <c r="H137" s="91"/>
      <c r="I137" s="38">
        <f t="shared" si="34"/>
        <v>0</v>
      </c>
    </row>
    <row r="138" spans="1:9" x14ac:dyDescent="0.3">
      <c r="A138" s="69" t="s">
        <v>214</v>
      </c>
      <c r="B138" s="70" t="s">
        <v>35</v>
      </c>
      <c r="C138" s="71" t="s">
        <v>215</v>
      </c>
      <c r="D138" s="36">
        <v>10</v>
      </c>
      <c r="E138" s="37">
        <f>1.06*14</f>
        <v>14.84</v>
      </c>
      <c r="F138" s="38">
        <f t="shared" si="33"/>
        <v>148.4</v>
      </c>
      <c r="G138" s="36">
        <v>10</v>
      </c>
      <c r="H138" s="91"/>
      <c r="I138" s="38">
        <f t="shared" si="34"/>
        <v>0</v>
      </c>
    </row>
    <row r="139" spans="1:9" x14ac:dyDescent="0.3">
      <c r="A139" s="69" t="s">
        <v>216</v>
      </c>
      <c r="B139" s="70" t="s">
        <v>35</v>
      </c>
      <c r="C139" s="71" t="s">
        <v>217</v>
      </c>
      <c r="D139" s="36">
        <v>10</v>
      </c>
      <c r="E139" s="37">
        <f>1.06*0.6</f>
        <v>0.64</v>
      </c>
      <c r="F139" s="38">
        <f t="shared" si="33"/>
        <v>6.4</v>
      </c>
      <c r="G139" s="36">
        <v>10</v>
      </c>
      <c r="H139" s="91"/>
      <c r="I139" s="38">
        <f t="shared" si="34"/>
        <v>0</v>
      </c>
    </row>
    <row r="140" spans="1:9" x14ac:dyDescent="0.3">
      <c r="A140" s="69" t="s">
        <v>218</v>
      </c>
      <c r="B140" s="70" t="s">
        <v>35</v>
      </c>
      <c r="C140" s="71" t="s">
        <v>219</v>
      </c>
      <c r="D140" s="36">
        <v>10</v>
      </c>
      <c r="E140" s="37">
        <f>1.06*0.6</f>
        <v>0.64</v>
      </c>
      <c r="F140" s="38">
        <f t="shared" si="33"/>
        <v>6.4</v>
      </c>
      <c r="G140" s="36">
        <v>10</v>
      </c>
      <c r="H140" s="91"/>
      <c r="I140" s="38">
        <f t="shared" si="34"/>
        <v>0</v>
      </c>
    </row>
    <row r="141" spans="1:9" x14ac:dyDescent="0.3">
      <c r="A141" s="69" t="s">
        <v>220</v>
      </c>
      <c r="B141" s="70" t="s">
        <v>35</v>
      </c>
      <c r="C141" s="71" t="s">
        <v>221</v>
      </c>
      <c r="D141" s="36">
        <v>10</v>
      </c>
      <c r="E141" s="37">
        <f>1.06*3</f>
        <v>3.18</v>
      </c>
      <c r="F141" s="38">
        <f t="shared" si="33"/>
        <v>31.8</v>
      </c>
      <c r="G141" s="36">
        <v>10</v>
      </c>
      <c r="H141" s="91"/>
      <c r="I141" s="38">
        <f t="shared" si="34"/>
        <v>0</v>
      </c>
    </row>
    <row r="142" spans="1:9" x14ac:dyDescent="0.3">
      <c r="A142" s="69" t="s">
        <v>222</v>
      </c>
      <c r="B142" s="70" t="s">
        <v>35</v>
      </c>
      <c r="C142" s="71" t="s">
        <v>223</v>
      </c>
      <c r="D142" s="36">
        <v>10</v>
      </c>
      <c r="E142" s="37">
        <f>1.06*0.7</f>
        <v>0.74</v>
      </c>
      <c r="F142" s="38">
        <f t="shared" si="33"/>
        <v>7.4</v>
      </c>
      <c r="G142" s="36">
        <v>10</v>
      </c>
      <c r="H142" s="91"/>
      <c r="I142" s="38">
        <f t="shared" si="34"/>
        <v>0</v>
      </c>
    </row>
    <row r="143" spans="1:9" x14ac:dyDescent="0.3">
      <c r="A143" s="72"/>
      <c r="B143" s="73"/>
      <c r="C143" s="74" t="s">
        <v>224</v>
      </c>
      <c r="D143" s="36">
        <v>1</v>
      </c>
      <c r="E143" s="40">
        <f>SUM(F133:F142)</f>
        <v>2587.52</v>
      </c>
      <c r="F143" s="41">
        <f t="shared" si="33"/>
        <v>2587.52</v>
      </c>
      <c r="G143" s="36">
        <v>1</v>
      </c>
      <c r="H143" s="92">
        <f>SUM(I133:I142)</f>
        <v>0</v>
      </c>
      <c r="I143" s="41">
        <f t="shared" si="34"/>
        <v>0</v>
      </c>
    </row>
    <row r="144" spans="1:9" ht="1.05" customHeight="1" x14ac:dyDescent="0.3">
      <c r="A144" s="42"/>
      <c r="B144" s="43"/>
      <c r="C144" s="75"/>
      <c r="D144" s="42"/>
      <c r="E144" s="43"/>
      <c r="F144" s="44"/>
      <c r="G144" s="42"/>
      <c r="H144" s="91"/>
      <c r="I144" s="44"/>
    </row>
    <row r="145" spans="1:9" x14ac:dyDescent="0.3">
      <c r="A145" s="82" t="s">
        <v>225</v>
      </c>
      <c r="B145" s="83" t="s">
        <v>5</v>
      </c>
      <c r="C145" s="84" t="s">
        <v>226</v>
      </c>
      <c r="D145" s="54">
        <f t="shared" ref="D145:I145" si="35">D150</f>
        <v>1</v>
      </c>
      <c r="E145" s="55">
        <f t="shared" si="35"/>
        <v>1846.52</v>
      </c>
      <c r="F145" s="56">
        <f t="shared" si="35"/>
        <v>1846.52</v>
      </c>
      <c r="G145" s="54">
        <f t="shared" si="35"/>
        <v>1</v>
      </c>
      <c r="H145" s="98">
        <f t="shared" si="35"/>
        <v>0</v>
      </c>
      <c r="I145" s="56">
        <f t="shared" si="35"/>
        <v>0</v>
      </c>
    </row>
    <row r="146" spans="1:9" x14ac:dyDescent="0.3">
      <c r="A146" s="69" t="s">
        <v>227</v>
      </c>
      <c r="B146" s="70" t="s">
        <v>35</v>
      </c>
      <c r="C146" s="71" t="s">
        <v>205</v>
      </c>
      <c r="D146" s="36">
        <v>4</v>
      </c>
      <c r="E146" s="37">
        <f>1.06*11</f>
        <v>11.66</v>
      </c>
      <c r="F146" s="38">
        <f>ROUND(D146*E146,2)</f>
        <v>46.64</v>
      </c>
      <c r="G146" s="36">
        <v>4</v>
      </c>
      <c r="H146" s="91"/>
      <c r="I146" s="38">
        <f>ROUND(G146*H146,2)</f>
        <v>0</v>
      </c>
    </row>
    <row r="147" spans="1:9" x14ac:dyDescent="0.3">
      <c r="A147" s="69" t="s">
        <v>228</v>
      </c>
      <c r="B147" s="70" t="s">
        <v>35</v>
      </c>
      <c r="C147" s="71" t="s">
        <v>207</v>
      </c>
      <c r="D147" s="36">
        <v>2</v>
      </c>
      <c r="E147" s="37">
        <f>1.06*25</f>
        <v>26.5</v>
      </c>
      <c r="F147" s="38">
        <f>ROUND(D147*E147,2)</f>
        <v>53</v>
      </c>
      <c r="G147" s="36">
        <v>2</v>
      </c>
      <c r="H147" s="91"/>
      <c r="I147" s="38">
        <f>ROUND(G147*H147,2)</f>
        <v>0</v>
      </c>
    </row>
    <row r="148" spans="1:9" x14ac:dyDescent="0.3">
      <c r="A148" s="69" t="s">
        <v>229</v>
      </c>
      <c r="B148" s="70" t="s">
        <v>35</v>
      </c>
      <c r="C148" s="71" t="s">
        <v>209</v>
      </c>
      <c r="D148" s="36">
        <v>8</v>
      </c>
      <c r="E148" s="37">
        <f>1.06*11</f>
        <v>11.66</v>
      </c>
      <c r="F148" s="38">
        <f>ROUND(D148*E148,2)</f>
        <v>93.28</v>
      </c>
      <c r="G148" s="36">
        <v>8</v>
      </c>
      <c r="H148" s="91"/>
      <c r="I148" s="38">
        <f>ROUND(G148*H148,2)</f>
        <v>0</v>
      </c>
    </row>
    <row r="149" spans="1:9" x14ac:dyDescent="0.3">
      <c r="A149" s="69" t="s">
        <v>230</v>
      </c>
      <c r="B149" s="70" t="s">
        <v>35</v>
      </c>
      <c r="C149" s="71" t="s">
        <v>213</v>
      </c>
      <c r="D149" s="36">
        <v>20</v>
      </c>
      <c r="E149" s="37">
        <f>1.06*78</f>
        <v>82.68</v>
      </c>
      <c r="F149" s="38">
        <f>ROUND(D149*E149,2)</f>
        <v>1653.6</v>
      </c>
      <c r="G149" s="36">
        <v>20</v>
      </c>
      <c r="H149" s="91"/>
      <c r="I149" s="38">
        <f>ROUND(G149*H149,2)</f>
        <v>0</v>
      </c>
    </row>
    <row r="150" spans="1:9" x14ac:dyDescent="0.3">
      <c r="A150" s="72"/>
      <c r="B150" s="73"/>
      <c r="C150" s="74" t="s">
        <v>231</v>
      </c>
      <c r="D150" s="36">
        <v>1</v>
      </c>
      <c r="E150" s="40">
        <f>SUM(F146:F149)</f>
        <v>1846.52</v>
      </c>
      <c r="F150" s="41">
        <f>ROUND(D150*E150,2)</f>
        <v>1846.52</v>
      </c>
      <c r="G150" s="36">
        <v>1</v>
      </c>
      <c r="H150" s="92">
        <f>SUM(I146:I149)</f>
        <v>0</v>
      </c>
      <c r="I150" s="41">
        <f>ROUND(G150*H150,2)</f>
        <v>0</v>
      </c>
    </row>
    <row r="151" spans="1:9" ht="1.05" customHeight="1" x14ac:dyDescent="0.3">
      <c r="A151" s="42"/>
      <c r="B151" s="43"/>
      <c r="C151" s="75"/>
      <c r="D151" s="42"/>
      <c r="E151" s="43"/>
      <c r="F151" s="44"/>
      <c r="G151" s="42"/>
      <c r="H151" s="91"/>
      <c r="I151" s="44"/>
    </row>
    <row r="152" spans="1:9" x14ac:dyDescent="0.3">
      <c r="A152" s="82" t="s">
        <v>232</v>
      </c>
      <c r="B152" s="83" t="s">
        <v>5</v>
      </c>
      <c r="C152" s="84" t="s">
        <v>233</v>
      </c>
      <c r="D152" s="54">
        <f t="shared" ref="D152:I152" si="36">D163</f>
        <v>1</v>
      </c>
      <c r="E152" s="55">
        <f t="shared" si="36"/>
        <v>2927.84</v>
      </c>
      <c r="F152" s="56">
        <f t="shared" si="36"/>
        <v>2927.84</v>
      </c>
      <c r="G152" s="54">
        <f t="shared" si="36"/>
        <v>1</v>
      </c>
      <c r="H152" s="98">
        <f t="shared" si="36"/>
        <v>0</v>
      </c>
      <c r="I152" s="56">
        <f t="shared" si="36"/>
        <v>0</v>
      </c>
    </row>
    <row r="153" spans="1:9" x14ac:dyDescent="0.3">
      <c r="A153" s="69" t="s">
        <v>234</v>
      </c>
      <c r="B153" s="70" t="s">
        <v>35</v>
      </c>
      <c r="C153" s="71" t="s">
        <v>205</v>
      </c>
      <c r="D153" s="36">
        <v>4</v>
      </c>
      <c r="E153" s="37">
        <f>1.06*11</f>
        <v>11.66</v>
      </c>
      <c r="F153" s="38">
        <f t="shared" ref="F153:F163" si="37">ROUND(D153*E153,2)</f>
        <v>46.64</v>
      </c>
      <c r="G153" s="36">
        <v>4</v>
      </c>
      <c r="H153" s="91"/>
      <c r="I153" s="38">
        <f t="shared" ref="I153:I163" si="38">ROUND(G153*H153,2)</f>
        <v>0</v>
      </c>
    </row>
    <row r="154" spans="1:9" x14ac:dyDescent="0.3">
      <c r="A154" s="69" t="s">
        <v>235</v>
      </c>
      <c r="B154" s="70" t="s">
        <v>35</v>
      </c>
      <c r="C154" s="71" t="s">
        <v>207</v>
      </c>
      <c r="D154" s="36">
        <v>6</v>
      </c>
      <c r="E154" s="37">
        <f>1.06*25</f>
        <v>26.5</v>
      </c>
      <c r="F154" s="38">
        <f t="shared" si="37"/>
        <v>159</v>
      </c>
      <c r="G154" s="36">
        <v>6</v>
      </c>
      <c r="H154" s="91"/>
      <c r="I154" s="38">
        <f t="shared" si="38"/>
        <v>0</v>
      </c>
    </row>
    <row r="155" spans="1:9" x14ac:dyDescent="0.3">
      <c r="A155" s="69" t="s">
        <v>236</v>
      </c>
      <c r="B155" s="70" t="s">
        <v>35</v>
      </c>
      <c r="C155" s="71" t="s">
        <v>209</v>
      </c>
      <c r="D155" s="36">
        <v>60</v>
      </c>
      <c r="E155" s="37">
        <f>1.06*11</f>
        <v>11.66</v>
      </c>
      <c r="F155" s="38">
        <f t="shared" si="37"/>
        <v>699.6</v>
      </c>
      <c r="G155" s="36">
        <v>60</v>
      </c>
      <c r="H155" s="91"/>
      <c r="I155" s="38">
        <f t="shared" si="38"/>
        <v>0</v>
      </c>
    </row>
    <row r="156" spans="1:9" x14ac:dyDescent="0.3">
      <c r="A156" s="69" t="s">
        <v>237</v>
      </c>
      <c r="B156" s="70" t="s">
        <v>35</v>
      </c>
      <c r="C156" s="71" t="s">
        <v>211</v>
      </c>
      <c r="D156" s="36">
        <v>20</v>
      </c>
      <c r="E156" s="37">
        <f>1.06*25</f>
        <v>26.5</v>
      </c>
      <c r="F156" s="38">
        <f t="shared" si="37"/>
        <v>530</v>
      </c>
      <c r="G156" s="36">
        <v>20</v>
      </c>
      <c r="H156" s="91"/>
      <c r="I156" s="38">
        <f t="shared" si="38"/>
        <v>0</v>
      </c>
    </row>
    <row r="157" spans="1:9" x14ac:dyDescent="0.3">
      <c r="A157" s="69" t="s">
        <v>238</v>
      </c>
      <c r="B157" s="70" t="s">
        <v>35</v>
      </c>
      <c r="C157" s="71" t="s">
        <v>213</v>
      </c>
      <c r="D157" s="36">
        <v>15</v>
      </c>
      <c r="E157" s="37">
        <f>1.06*78</f>
        <v>82.68</v>
      </c>
      <c r="F157" s="38">
        <f t="shared" si="37"/>
        <v>1240.2</v>
      </c>
      <c r="G157" s="36">
        <v>15</v>
      </c>
      <c r="H157" s="91"/>
      <c r="I157" s="38">
        <f t="shared" si="38"/>
        <v>0</v>
      </c>
    </row>
    <row r="158" spans="1:9" x14ac:dyDescent="0.3">
      <c r="A158" s="69" t="s">
        <v>239</v>
      </c>
      <c r="B158" s="70" t="s">
        <v>35</v>
      </c>
      <c r="C158" s="71" t="s">
        <v>215</v>
      </c>
      <c r="D158" s="36">
        <v>10</v>
      </c>
      <c r="E158" s="37">
        <f>1.06*14</f>
        <v>14.84</v>
      </c>
      <c r="F158" s="38">
        <f t="shared" si="37"/>
        <v>148.4</v>
      </c>
      <c r="G158" s="36">
        <v>10</v>
      </c>
      <c r="H158" s="91"/>
      <c r="I158" s="38">
        <f t="shared" si="38"/>
        <v>0</v>
      </c>
    </row>
    <row r="159" spans="1:9" x14ac:dyDescent="0.3">
      <c r="A159" s="69" t="s">
        <v>240</v>
      </c>
      <c r="B159" s="70" t="s">
        <v>35</v>
      </c>
      <c r="C159" s="71" t="s">
        <v>217</v>
      </c>
      <c r="D159" s="36">
        <v>20</v>
      </c>
      <c r="E159" s="37">
        <f>1.06*0.6</f>
        <v>0.64</v>
      </c>
      <c r="F159" s="38">
        <f t="shared" si="37"/>
        <v>12.8</v>
      </c>
      <c r="G159" s="36">
        <v>20</v>
      </c>
      <c r="H159" s="91"/>
      <c r="I159" s="38">
        <f t="shared" si="38"/>
        <v>0</v>
      </c>
    </row>
    <row r="160" spans="1:9" x14ac:dyDescent="0.3">
      <c r="A160" s="69" t="s">
        <v>241</v>
      </c>
      <c r="B160" s="70" t="s">
        <v>35</v>
      </c>
      <c r="C160" s="71" t="s">
        <v>219</v>
      </c>
      <c r="D160" s="36">
        <v>20</v>
      </c>
      <c r="E160" s="37">
        <f>1.06*0.6</f>
        <v>0.64</v>
      </c>
      <c r="F160" s="38">
        <f t="shared" si="37"/>
        <v>12.8</v>
      </c>
      <c r="G160" s="36">
        <v>20</v>
      </c>
      <c r="H160" s="91"/>
      <c r="I160" s="38">
        <f t="shared" si="38"/>
        <v>0</v>
      </c>
    </row>
    <row r="161" spans="1:9" x14ac:dyDescent="0.3">
      <c r="A161" s="69" t="s">
        <v>242</v>
      </c>
      <c r="B161" s="70" t="s">
        <v>35</v>
      </c>
      <c r="C161" s="71" t="s">
        <v>223</v>
      </c>
      <c r="D161" s="36">
        <v>20</v>
      </c>
      <c r="E161" s="37">
        <f>1.06*0.7</f>
        <v>0.74</v>
      </c>
      <c r="F161" s="38">
        <f t="shared" si="37"/>
        <v>14.8</v>
      </c>
      <c r="G161" s="36">
        <v>20</v>
      </c>
      <c r="H161" s="91"/>
      <c r="I161" s="38">
        <f t="shared" si="38"/>
        <v>0</v>
      </c>
    </row>
    <row r="162" spans="1:9" x14ac:dyDescent="0.3">
      <c r="A162" s="69" t="s">
        <v>243</v>
      </c>
      <c r="B162" s="70" t="s">
        <v>35</v>
      </c>
      <c r="C162" s="71" t="s">
        <v>244</v>
      </c>
      <c r="D162" s="36">
        <v>20</v>
      </c>
      <c r="E162" s="37">
        <f>1.06*3</f>
        <v>3.18</v>
      </c>
      <c r="F162" s="38">
        <f t="shared" si="37"/>
        <v>63.6</v>
      </c>
      <c r="G162" s="36">
        <v>20</v>
      </c>
      <c r="H162" s="91"/>
      <c r="I162" s="38">
        <f t="shared" si="38"/>
        <v>0</v>
      </c>
    </row>
    <row r="163" spans="1:9" x14ac:dyDescent="0.3">
      <c r="A163" s="72"/>
      <c r="B163" s="73"/>
      <c r="C163" s="74" t="s">
        <v>245</v>
      </c>
      <c r="D163" s="36">
        <v>1</v>
      </c>
      <c r="E163" s="40">
        <f>SUM(F153:F162)</f>
        <v>2927.84</v>
      </c>
      <c r="F163" s="41">
        <f t="shared" si="37"/>
        <v>2927.84</v>
      </c>
      <c r="G163" s="36">
        <v>1</v>
      </c>
      <c r="H163" s="92">
        <f>SUM(I153:I162)</f>
        <v>0</v>
      </c>
      <c r="I163" s="41">
        <f t="shared" si="38"/>
        <v>0</v>
      </c>
    </row>
    <row r="164" spans="1:9" ht="1.05" customHeight="1" x14ac:dyDescent="0.3">
      <c r="A164" s="42"/>
      <c r="B164" s="43"/>
      <c r="C164" s="75"/>
      <c r="D164" s="42"/>
      <c r="E164" s="43"/>
      <c r="F164" s="44"/>
      <c r="G164" s="42"/>
      <c r="H164" s="91"/>
      <c r="I164" s="44"/>
    </row>
    <row r="165" spans="1:9" x14ac:dyDescent="0.3">
      <c r="A165" s="72"/>
      <c r="B165" s="73"/>
      <c r="C165" s="74" t="s">
        <v>246</v>
      </c>
      <c r="D165" s="36">
        <v>1</v>
      </c>
      <c r="E165" s="40">
        <f>F114+F123+F132+F145+F152</f>
        <v>12783.12</v>
      </c>
      <c r="F165" s="41">
        <f>ROUND(D165*E165,2)</f>
        <v>12783.12</v>
      </c>
      <c r="G165" s="36">
        <v>1</v>
      </c>
      <c r="H165" s="92">
        <f>I114+I123+I132+I145+I152</f>
        <v>0</v>
      </c>
      <c r="I165" s="41">
        <f>ROUND(G165*H165,2)</f>
        <v>0</v>
      </c>
    </row>
    <row r="166" spans="1:9" ht="1.05" customHeight="1" x14ac:dyDescent="0.3">
      <c r="A166" s="42"/>
      <c r="B166" s="43"/>
      <c r="C166" s="75"/>
      <c r="D166" s="42"/>
      <c r="E166" s="43"/>
      <c r="F166" s="44"/>
      <c r="G166" s="42"/>
      <c r="H166" s="91"/>
      <c r="I166" s="44"/>
    </row>
    <row r="167" spans="1:9" x14ac:dyDescent="0.3">
      <c r="A167" s="79" t="s">
        <v>247</v>
      </c>
      <c r="B167" s="80" t="s">
        <v>5</v>
      </c>
      <c r="C167" s="81" t="s">
        <v>248</v>
      </c>
      <c r="D167" s="50">
        <f t="shared" ref="D167:I167" si="39">D236</f>
        <v>1</v>
      </c>
      <c r="E167" s="51">
        <f t="shared" si="39"/>
        <v>8352.7999999999993</v>
      </c>
      <c r="F167" s="52">
        <f t="shared" si="39"/>
        <v>8352.7999999999993</v>
      </c>
      <c r="G167" s="50">
        <f t="shared" si="39"/>
        <v>1</v>
      </c>
      <c r="H167" s="97">
        <f t="shared" si="39"/>
        <v>0</v>
      </c>
      <c r="I167" s="52">
        <f t="shared" si="39"/>
        <v>0</v>
      </c>
    </row>
    <row r="168" spans="1:9" x14ac:dyDescent="0.3">
      <c r="A168" s="82" t="s">
        <v>249</v>
      </c>
      <c r="B168" s="83" t="s">
        <v>5</v>
      </c>
      <c r="C168" s="84" t="s">
        <v>250</v>
      </c>
      <c r="D168" s="54">
        <f t="shared" ref="D168:I168" si="40">D200</f>
        <v>1</v>
      </c>
      <c r="E168" s="55">
        <f t="shared" si="40"/>
        <v>4176.3999999999996</v>
      </c>
      <c r="F168" s="56">
        <f t="shared" si="40"/>
        <v>4176.3999999999996</v>
      </c>
      <c r="G168" s="54">
        <f t="shared" si="40"/>
        <v>1</v>
      </c>
      <c r="H168" s="98">
        <f t="shared" si="40"/>
        <v>0</v>
      </c>
      <c r="I168" s="56">
        <f t="shared" si="40"/>
        <v>0</v>
      </c>
    </row>
    <row r="169" spans="1:9" x14ac:dyDescent="0.3">
      <c r="A169" s="69" t="s">
        <v>251</v>
      </c>
      <c r="B169" s="70" t="s">
        <v>35</v>
      </c>
      <c r="C169" s="71" t="s">
        <v>252</v>
      </c>
      <c r="D169" s="36">
        <v>1</v>
      </c>
      <c r="E169" s="37">
        <f>1.06*1500</f>
        <v>1590</v>
      </c>
      <c r="F169" s="38">
        <f>ROUND(D169*E169,2)</f>
        <v>1590</v>
      </c>
      <c r="G169" s="36">
        <v>1</v>
      </c>
      <c r="H169" s="91"/>
      <c r="I169" s="38">
        <f>ROUND(G169*H169,2)</f>
        <v>0</v>
      </c>
    </row>
    <row r="170" spans="1:9" x14ac:dyDescent="0.3">
      <c r="A170" s="69" t="s">
        <v>253</v>
      </c>
      <c r="B170" s="70" t="s">
        <v>35</v>
      </c>
      <c r="C170" s="71" t="s">
        <v>188</v>
      </c>
      <c r="D170" s="36">
        <v>1</v>
      </c>
      <c r="E170" s="37">
        <f>1.06*500</f>
        <v>530</v>
      </c>
      <c r="F170" s="38">
        <f>ROUND(D170*E170,2)</f>
        <v>530</v>
      </c>
      <c r="G170" s="36">
        <v>1</v>
      </c>
      <c r="H170" s="91"/>
      <c r="I170" s="38">
        <f>ROUND(G170*H170,2)</f>
        <v>0</v>
      </c>
    </row>
    <row r="171" spans="1:9" x14ac:dyDescent="0.3">
      <c r="A171" s="85" t="s">
        <v>254</v>
      </c>
      <c r="B171" s="86" t="s">
        <v>5</v>
      </c>
      <c r="C171" s="87" t="s">
        <v>203</v>
      </c>
      <c r="D171" s="57">
        <f t="shared" ref="D171:I171" si="41">D180</f>
        <v>1</v>
      </c>
      <c r="E171" s="58">
        <f t="shared" si="41"/>
        <v>768.5</v>
      </c>
      <c r="F171" s="59">
        <f t="shared" si="41"/>
        <v>768.5</v>
      </c>
      <c r="G171" s="57">
        <f t="shared" si="41"/>
        <v>1</v>
      </c>
      <c r="H171" s="99">
        <f t="shared" si="41"/>
        <v>0</v>
      </c>
      <c r="I171" s="59">
        <f t="shared" si="41"/>
        <v>0</v>
      </c>
    </row>
    <row r="172" spans="1:9" x14ac:dyDescent="0.3">
      <c r="A172" s="69" t="s">
        <v>255</v>
      </c>
      <c r="B172" s="70" t="s">
        <v>35</v>
      </c>
      <c r="C172" s="71" t="s">
        <v>256</v>
      </c>
      <c r="D172" s="36">
        <v>2</v>
      </c>
      <c r="E172" s="37">
        <f>1.06*5</f>
        <v>5.3</v>
      </c>
      <c r="F172" s="38">
        <f t="shared" ref="F172:F180" si="42">ROUND(D172*E172,2)</f>
        <v>10.6</v>
      </c>
      <c r="G172" s="36">
        <v>2</v>
      </c>
      <c r="H172" s="91"/>
      <c r="I172" s="38">
        <f t="shared" ref="I172:I180" si="43">ROUND(G172*H172,2)</f>
        <v>0</v>
      </c>
    </row>
    <row r="173" spans="1:9" x14ac:dyDescent="0.3">
      <c r="A173" s="69" t="s">
        <v>257</v>
      </c>
      <c r="B173" s="70" t="s">
        <v>35</v>
      </c>
      <c r="C173" s="71" t="s">
        <v>258</v>
      </c>
      <c r="D173" s="36">
        <v>6</v>
      </c>
      <c r="E173" s="37">
        <f>1.06*5</f>
        <v>5.3</v>
      </c>
      <c r="F173" s="38">
        <f t="shared" si="42"/>
        <v>31.8</v>
      </c>
      <c r="G173" s="36">
        <v>6</v>
      </c>
      <c r="H173" s="91"/>
      <c r="I173" s="38">
        <f t="shared" si="43"/>
        <v>0</v>
      </c>
    </row>
    <row r="174" spans="1:9" x14ac:dyDescent="0.3">
      <c r="A174" s="69" t="s">
        <v>259</v>
      </c>
      <c r="B174" s="70" t="s">
        <v>35</v>
      </c>
      <c r="C174" s="71" t="s">
        <v>209</v>
      </c>
      <c r="D174" s="36">
        <v>60</v>
      </c>
      <c r="E174" s="37">
        <f>1.06*5</f>
        <v>5.3</v>
      </c>
      <c r="F174" s="38">
        <f t="shared" si="42"/>
        <v>318</v>
      </c>
      <c r="G174" s="36">
        <v>60</v>
      </c>
      <c r="H174" s="91"/>
      <c r="I174" s="38">
        <f t="shared" si="43"/>
        <v>0</v>
      </c>
    </row>
    <row r="175" spans="1:9" x14ac:dyDescent="0.3">
      <c r="A175" s="69" t="s">
        <v>260</v>
      </c>
      <c r="B175" s="70" t="s">
        <v>35</v>
      </c>
      <c r="C175" s="71" t="s">
        <v>211</v>
      </c>
      <c r="D175" s="36">
        <v>10</v>
      </c>
      <c r="E175" s="37">
        <f>1.06*5</f>
        <v>5.3</v>
      </c>
      <c r="F175" s="38">
        <f t="shared" si="42"/>
        <v>53</v>
      </c>
      <c r="G175" s="36">
        <v>10</v>
      </c>
      <c r="H175" s="91"/>
      <c r="I175" s="38">
        <f t="shared" si="43"/>
        <v>0</v>
      </c>
    </row>
    <row r="176" spans="1:9" x14ac:dyDescent="0.3">
      <c r="A176" s="69" t="s">
        <v>261</v>
      </c>
      <c r="B176" s="70" t="s">
        <v>35</v>
      </c>
      <c r="C176" s="71" t="s">
        <v>213</v>
      </c>
      <c r="D176" s="36">
        <v>15</v>
      </c>
      <c r="E176" s="37">
        <f>1.06*15</f>
        <v>15.9</v>
      </c>
      <c r="F176" s="38">
        <f t="shared" si="42"/>
        <v>238.5</v>
      </c>
      <c r="G176" s="36">
        <v>15</v>
      </c>
      <c r="H176" s="91"/>
      <c r="I176" s="38">
        <f t="shared" si="43"/>
        <v>0</v>
      </c>
    </row>
    <row r="177" spans="1:9" x14ac:dyDescent="0.3">
      <c r="A177" s="69" t="s">
        <v>262</v>
      </c>
      <c r="B177" s="70" t="s">
        <v>35</v>
      </c>
      <c r="C177" s="71" t="s">
        <v>263</v>
      </c>
      <c r="D177" s="36">
        <v>20</v>
      </c>
      <c r="E177" s="37">
        <f>1.06*2</f>
        <v>2.12</v>
      </c>
      <c r="F177" s="38">
        <f t="shared" si="42"/>
        <v>42.4</v>
      </c>
      <c r="G177" s="36">
        <v>20</v>
      </c>
      <c r="H177" s="91"/>
      <c r="I177" s="38">
        <f t="shared" si="43"/>
        <v>0</v>
      </c>
    </row>
    <row r="178" spans="1:9" x14ac:dyDescent="0.3">
      <c r="A178" s="69" t="s">
        <v>264</v>
      </c>
      <c r="B178" s="70" t="s">
        <v>35</v>
      </c>
      <c r="C178" s="71" t="s">
        <v>265</v>
      </c>
      <c r="D178" s="36">
        <v>10</v>
      </c>
      <c r="E178" s="37">
        <f>1.06*2</f>
        <v>2.12</v>
      </c>
      <c r="F178" s="38">
        <f t="shared" si="42"/>
        <v>21.2</v>
      </c>
      <c r="G178" s="36">
        <v>10</v>
      </c>
      <c r="H178" s="91"/>
      <c r="I178" s="38">
        <f t="shared" si="43"/>
        <v>0</v>
      </c>
    </row>
    <row r="179" spans="1:9" x14ac:dyDescent="0.3">
      <c r="A179" s="69" t="s">
        <v>266</v>
      </c>
      <c r="B179" s="70" t="s">
        <v>35</v>
      </c>
      <c r="C179" s="71" t="s">
        <v>267</v>
      </c>
      <c r="D179" s="36">
        <v>10</v>
      </c>
      <c r="E179" s="37">
        <f>1.06*5</f>
        <v>5.3</v>
      </c>
      <c r="F179" s="38">
        <f t="shared" si="42"/>
        <v>53</v>
      </c>
      <c r="G179" s="36">
        <v>10</v>
      </c>
      <c r="H179" s="91"/>
      <c r="I179" s="38">
        <f t="shared" si="43"/>
        <v>0</v>
      </c>
    </row>
    <row r="180" spans="1:9" x14ac:dyDescent="0.3">
      <c r="A180" s="72"/>
      <c r="B180" s="73"/>
      <c r="C180" s="74" t="s">
        <v>268</v>
      </c>
      <c r="D180" s="36">
        <v>1</v>
      </c>
      <c r="E180" s="40">
        <f>SUM(F172:F179)</f>
        <v>768.5</v>
      </c>
      <c r="F180" s="41">
        <f t="shared" si="42"/>
        <v>768.5</v>
      </c>
      <c r="G180" s="36">
        <v>1</v>
      </c>
      <c r="H180" s="92">
        <f>SUM(I172:I179)</f>
        <v>0</v>
      </c>
      <c r="I180" s="41">
        <f t="shared" si="43"/>
        <v>0</v>
      </c>
    </row>
    <row r="181" spans="1:9" ht="1.05" customHeight="1" x14ac:dyDescent="0.3">
      <c r="A181" s="42"/>
      <c r="B181" s="43"/>
      <c r="C181" s="75"/>
      <c r="D181" s="42"/>
      <c r="E181" s="43"/>
      <c r="F181" s="44"/>
      <c r="G181" s="42"/>
      <c r="H181" s="91"/>
      <c r="I181" s="44"/>
    </row>
    <row r="182" spans="1:9" x14ac:dyDescent="0.3">
      <c r="A182" s="85" t="s">
        <v>269</v>
      </c>
      <c r="B182" s="86" t="s">
        <v>5</v>
      </c>
      <c r="C182" s="87" t="s">
        <v>226</v>
      </c>
      <c r="D182" s="57">
        <f t="shared" ref="D182:I182" si="44">D187</f>
        <v>1</v>
      </c>
      <c r="E182" s="58">
        <f t="shared" si="44"/>
        <v>392.2</v>
      </c>
      <c r="F182" s="59">
        <f t="shared" si="44"/>
        <v>392.2</v>
      </c>
      <c r="G182" s="57">
        <f t="shared" si="44"/>
        <v>1</v>
      </c>
      <c r="H182" s="99">
        <f t="shared" si="44"/>
        <v>0</v>
      </c>
      <c r="I182" s="59">
        <f t="shared" si="44"/>
        <v>0</v>
      </c>
    </row>
    <row r="183" spans="1:9" x14ac:dyDescent="0.3">
      <c r="A183" s="69" t="s">
        <v>270</v>
      </c>
      <c r="B183" s="70" t="s">
        <v>35</v>
      </c>
      <c r="C183" s="71" t="s">
        <v>256</v>
      </c>
      <c r="D183" s="36">
        <v>4</v>
      </c>
      <c r="E183" s="37">
        <f>1.06*5</f>
        <v>5.3</v>
      </c>
      <c r="F183" s="38">
        <f>ROUND(D183*E183,2)</f>
        <v>21.2</v>
      </c>
      <c r="G183" s="36">
        <v>4</v>
      </c>
      <c r="H183" s="91"/>
      <c r="I183" s="38">
        <f>ROUND(G183*H183,2)</f>
        <v>0</v>
      </c>
    </row>
    <row r="184" spans="1:9" x14ac:dyDescent="0.3">
      <c r="A184" s="69" t="s">
        <v>271</v>
      </c>
      <c r="B184" s="70" t="s">
        <v>35</v>
      </c>
      <c r="C184" s="71" t="s">
        <v>272</v>
      </c>
      <c r="D184" s="36">
        <v>2</v>
      </c>
      <c r="E184" s="37">
        <f>1.06*5</f>
        <v>5.3</v>
      </c>
      <c r="F184" s="38">
        <f>ROUND(D184*E184,2)</f>
        <v>10.6</v>
      </c>
      <c r="G184" s="36">
        <v>2</v>
      </c>
      <c r="H184" s="91"/>
      <c r="I184" s="38">
        <f>ROUND(G184*H184,2)</f>
        <v>0</v>
      </c>
    </row>
    <row r="185" spans="1:9" x14ac:dyDescent="0.3">
      <c r="A185" s="69" t="s">
        <v>273</v>
      </c>
      <c r="B185" s="70" t="s">
        <v>35</v>
      </c>
      <c r="C185" s="71" t="s">
        <v>209</v>
      </c>
      <c r="D185" s="36">
        <v>8</v>
      </c>
      <c r="E185" s="37">
        <f>1.06*5</f>
        <v>5.3</v>
      </c>
      <c r="F185" s="38">
        <f>ROUND(D185*E185,2)</f>
        <v>42.4</v>
      </c>
      <c r="G185" s="36">
        <v>8</v>
      </c>
      <c r="H185" s="91"/>
      <c r="I185" s="38">
        <f>ROUND(G185*H185,2)</f>
        <v>0</v>
      </c>
    </row>
    <row r="186" spans="1:9" x14ac:dyDescent="0.3">
      <c r="A186" s="69" t="s">
        <v>274</v>
      </c>
      <c r="B186" s="70" t="s">
        <v>35</v>
      </c>
      <c r="C186" s="71" t="s">
        <v>213</v>
      </c>
      <c r="D186" s="36">
        <v>20</v>
      </c>
      <c r="E186" s="37">
        <f>1.06*15</f>
        <v>15.9</v>
      </c>
      <c r="F186" s="38">
        <f>ROUND(D186*E186,2)</f>
        <v>318</v>
      </c>
      <c r="G186" s="36">
        <v>20</v>
      </c>
      <c r="H186" s="91"/>
      <c r="I186" s="38">
        <f>ROUND(G186*H186,2)</f>
        <v>0</v>
      </c>
    </row>
    <row r="187" spans="1:9" x14ac:dyDescent="0.3">
      <c r="A187" s="72"/>
      <c r="B187" s="73"/>
      <c r="C187" s="74" t="s">
        <v>275</v>
      </c>
      <c r="D187" s="36">
        <v>1</v>
      </c>
      <c r="E187" s="40">
        <f>SUM(F183:F186)</f>
        <v>392.2</v>
      </c>
      <c r="F187" s="41">
        <f>ROUND(D187*E187,2)</f>
        <v>392.2</v>
      </c>
      <c r="G187" s="36">
        <v>1</v>
      </c>
      <c r="H187" s="92">
        <f>SUM(I183:I186)</f>
        <v>0</v>
      </c>
      <c r="I187" s="41">
        <f>ROUND(G187*H187,2)</f>
        <v>0</v>
      </c>
    </row>
    <row r="188" spans="1:9" ht="1.05" customHeight="1" x14ac:dyDescent="0.3">
      <c r="A188" s="42"/>
      <c r="B188" s="43"/>
      <c r="C188" s="75"/>
      <c r="D188" s="42"/>
      <c r="E188" s="43"/>
      <c r="F188" s="44"/>
      <c r="G188" s="42"/>
      <c r="H188" s="91"/>
      <c r="I188" s="44"/>
    </row>
    <row r="189" spans="1:9" x14ac:dyDescent="0.3">
      <c r="A189" s="85" t="s">
        <v>276</v>
      </c>
      <c r="B189" s="86" t="s">
        <v>5</v>
      </c>
      <c r="C189" s="87" t="s">
        <v>233</v>
      </c>
      <c r="D189" s="57">
        <f t="shared" ref="D189:I189" si="45">D198</f>
        <v>1</v>
      </c>
      <c r="E189" s="58">
        <f t="shared" si="45"/>
        <v>895.7</v>
      </c>
      <c r="F189" s="59">
        <f t="shared" si="45"/>
        <v>895.7</v>
      </c>
      <c r="G189" s="57">
        <f t="shared" si="45"/>
        <v>1</v>
      </c>
      <c r="H189" s="99">
        <f t="shared" si="45"/>
        <v>0</v>
      </c>
      <c r="I189" s="59">
        <f t="shared" si="45"/>
        <v>0</v>
      </c>
    </row>
    <row r="190" spans="1:9" x14ac:dyDescent="0.3">
      <c r="A190" s="69" t="s">
        <v>277</v>
      </c>
      <c r="B190" s="70" t="s">
        <v>35</v>
      </c>
      <c r="C190" s="71" t="s">
        <v>256</v>
      </c>
      <c r="D190" s="36">
        <v>4</v>
      </c>
      <c r="E190" s="37">
        <f>1.06*5</f>
        <v>5.3</v>
      </c>
      <c r="F190" s="38">
        <f t="shared" ref="F190:F198" si="46">ROUND(D190*E190,2)</f>
        <v>21.2</v>
      </c>
      <c r="G190" s="36">
        <v>4</v>
      </c>
      <c r="H190" s="91"/>
      <c r="I190" s="38">
        <f t="shared" ref="I190:I198" si="47">ROUND(G190*H190,2)</f>
        <v>0</v>
      </c>
    </row>
    <row r="191" spans="1:9" x14ac:dyDescent="0.3">
      <c r="A191" s="69" t="s">
        <v>278</v>
      </c>
      <c r="B191" s="70" t="s">
        <v>35</v>
      </c>
      <c r="C191" s="71" t="s">
        <v>258</v>
      </c>
      <c r="D191" s="36">
        <v>6</v>
      </c>
      <c r="E191" s="37">
        <f>1.06*5</f>
        <v>5.3</v>
      </c>
      <c r="F191" s="38">
        <f t="shared" si="46"/>
        <v>31.8</v>
      </c>
      <c r="G191" s="36">
        <v>6</v>
      </c>
      <c r="H191" s="91"/>
      <c r="I191" s="38">
        <f t="shared" si="47"/>
        <v>0</v>
      </c>
    </row>
    <row r="192" spans="1:9" x14ac:dyDescent="0.3">
      <c r="A192" s="69" t="s">
        <v>279</v>
      </c>
      <c r="B192" s="70" t="s">
        <v>35</v>
      </c>
      <c r="C192" s="71" t="s">
        <v>209</v>
      </c>
      <c r="D192" s="36">
        <v>60</v>
      </c>
      <c r="E192" s="37">
        <f>1.06*5</f>
        <v>5.3</v>
      </c>
      <c r="F192" s="38">
        <f t="shared" si="46"/>
        <v>318</v>
      </c>
      <c r="G192" s="36">
        <v>60</v>
      </c>
      <c r="H192" s="91"/>
      <c r="I192" s="38">
        <f t="shared" si="47"/>
        <v>0</v>
      </c>
    </row>
    <row r="193" spans="1:9" x14ac:dyDescent="0.3">
      <c r="A193" s="69" t="s">
        <v>280</v>
      </c>
      <c r="B193" s="70" t="s">
        <v>35</v>
      </c>
      <c r="C193" s="71" t="s">
        <v>211</v>
      </c>
      <c r="D193" s="36">
        <v>20</v>
      </c>
      <c r="E193" s="37">
        <f>1.06*5</f>
        <v>5.3</v>
      </c>
      <c r="F193" s="38">
        <f t="shared" si="46"/>
        <v>106</v>
      </c>
      <c r="G193" s="36">
        <v>20</v>
      </c>
      <c r="H193" s="91"/>
      <c r="I193" s="38">
        <f t="shared" si="47"/>
        <v>0</v>
      </c>
    </row>
    <row r="194" spans="1:9" x14ac:dyDescent="0.3">
      <c r="A194" s="69" t="s">
        <v>281</v>
      </c>
      <c r="B194" s="70" t="s">
        <v>35</v>
      </c>
      <c r="C194" s="71" t="s">
        <v>213</v>
      </c>
      <c r="D194" s="36">
        <v>15</v>
      </c>
      <c r="E194" s="37">
        <f>1.06*15</f>
        <v>15.9</v>
      </c>
      <c r="F194" s="38">
        <f t="shared" si="46"/>
        <v>238.5</v>
      </c>
      <c r="G194" s="36">
        <v>15</v>
      </c>
      <c r="H194" s="91"/>
      <c r="I194" s="38">
        <f t="shared" si="47"/>
        <v>0</v>
      </c>
    </row>
    <row r="195" spans="1:9" x14ac:dyDescent="0.3">
      <c r="A195" s="69" t="s">
        <v>282</v>
      </c>
      <c r="B195" s="70" t="s">
        <v>35</v>
      </c>
      <c r="C195" s="71" t="s">
        <v>263</v>
      </c>
      <c r="D195" s="36">
        <v>40</v>
      </c>
      <c r="E195" s="37">
        <f>1.06*2</f>
        <v>2.12</v>
      </c>
      <c r="F195" s="38">
        <f t="shared" si="46"/>
        <v>84.8</v>
      </c>
      <c r="G195" s="36">
        <v>40</v>
      </c>
      <c r="H195" s="91"/>
      <c r="I195" s="38">
        <f t="shared" si="47"/>
        <v>0</v>
      </c>
    </row>
    <row r="196" spans="1:9" x14ac:dyDescent="0.3">
      <c r="A196" s="69" t="s">
        <v>283</v>
      </c>
      <c r="B196" s="70" t="s">
        <v>35</v>
      </c>
      <c r="C196" s="71" t="s">
        <v>265</v>
      </c>
      <c r="D196" s="36">
        <v>20</v>
      </c>
      <c r="E196" s="37">
        <f>1.06*2</f>
        <v>2.12</v>
      </c>
      <c r="F196" s="38">
        <f t="shared" si="46"/>
        <v>42.4</v>
      </c>
      <c r="G196" s="36">
        <v>20</v>
      </c>
      <c r="H196" s="91"/>
      <c r="I196" s="38">
        <f t="shared" si="47"/>
        <v>0</v>
      </c>
    </row>
    <row r="197" spans="1:9" x14ac:dyDescent="0.3">
      <c r="A197" s="69" t="s">
        <v>284</v>
      </c>
      <c r="B197" s="70" t="s">
        <v>35</v>
      </c>
      <c r="C197" s="71" t="s">
        <v>267</v>
      </c>
      <c r="D197" s="36">
        <v>10</v>
      </c>
      <c r="E197" s="37">
        <f>1.06*5</f>
        <v>5.3</v>
      </c>
      <c r="F197" s="38">
        <f t="shared" si="46"/>
        <v>53</v>
      </c>
      <c r="G197" s="36">
        <v>10</v>
      </c>
      <c r="H197" s="91"/>
      <c r="I197" s="38">
        <f t="shared" si="47"/>
        <v>0</v>
      </c>
    </row>
    <row r="198" spans="1:9" x14ac:dyDescent="0.3">
      <c r="A198" s="72"/>
      <c r="B198" s="73"/>
      <c r="C198" s="74" t="s">
        <v>285</v>
      </c>
      <c r="D198" s="36">
        <v>1</v>
      </c>
      <c r="E198" s="40">
        <f>SUM(F190:F197)</f>
        <v>895.7</v>
      </c>
      <c r="F198" s="41">
        <f t="shared" si="46"/>
        <v>895.7</v>
      </c>
      <c r="G198" s="36">
        <v>1</v>
      </c>
      <c r="H198" s="92">
        <f>SUM(I190:I197)</f>
        <v>0</v>
      </c>
      <c r="I198" s="41">
        <f t="shared" si="47"/>
        <v>0</v>
      </c>
    </row>
    <row r="199" spans="1:9" ht="1.05" customHeight="1" x14ac:dyDescent="0.3">
      <c r="A199" s="42"/>
      <c r="B199" s="43"/>
      <c r="C199" s="75"/>
      <c r="D199" s="42"/>
      <c r="E199" s="43"/>
      <c r="F199" s="44"/>
      <c r="G199" s="42"/>
      <c r="H199" s="91"/>
      <c r="I199" s="44"/>
    </row>
    <row r="200" spans="1:9" x14ac:dyDescent="0.3">
      <c r="A200" s="72"/>
      <c r="B200" s="73"/>
      <c r="C200" s="74" t="s">
        <v>286</v>
      </c>
      <c r="D200" s="36">
        <v>1</v>
      </c>
      <c r="E200" s="40">
        <f>F169+F170+F171+F182+F189</f>
        <v>4176.3999999999996</v>
      </c>
      <c r="F200" s="41">
        <f>ROUND(D200*E200,2)</f>
        <v>4176.3999999999996</v>
      </c>
      <c r="G200" s="36">
        <v>1</v>
      </c>
      <c r="H200" s="92">
        <f>I169+I170+I171+I182+I189</f>
        <v>0</v>
      </c>
      <c r="I200" s="41">
        <f>ROUND(G200*H200,2)</f>
        <v>0</v>
      </c>
    </row>
    <row r="201" spans="1:9" ht="1.05" customHeight="1" x14ac:dyDescent="0.3">
      <c r="A201" s="42"/>
      <c r="B201" s="43"/>
      <c r="C201" s="75"/>
      <c r="D201" s="42"/>
      <c r="E201" s="43"/>
      <c r="F201" s="44"/>
      <c r="G201" s="42"/>
      <c r="H201" s="91"/>
      <c r="I201" s="44"/>
    </row>
    <row r="202" spans="1:9" x14ac:dyDescent="0.3">
      <c r="A202" s="82" t="s">
        <v>287</v>
      </c>
      <c r="B202" s="83" t="s">
        <v>5</v>
      </c>
      <c r="C202" s="84" t="s">
        <v>288</v>
      </c>
      <c r="D202" s="54">
        <f t="shared" ref="D202:I202" si="48">D234</f>
        <v>1</v>
      </c>
      <c r="E202" s="55">
        <f t="shared" si="48"/>
        <v>4176.3999999999996</v>
      </c>
      <c r="F202" s="56">
        <f t="shared" si="48"/>
        <v>4176.3999999999996</v>
      </c>
      <c r="G202" s="54">
        <f t="shared" si="48"/>
        <v>1</v>
      </c>
      <c r="H202" s="98">
        <f t="shared" si="48"/>
        <v>0</v>
      </c>
      <c r="I202" s="56">
        <f t="shared" si="48"/>
        <v>0</v>
      </c>
    </row>
    <row r="203" spans="1:9" x14ac:dyDescent="0.3">
      <c r="A203" s="69" t="s">
        <v>289</v>
      </c>
      <c r="B203" s="70" t="s">
        <v>35</v>
      </c>
      <c r="C203" s="71" t="s">
        <v>252</v>
      </c>
      <c r="D203" s="36">
        <v>1</v>
      </c>
      <c r="E203" s="37">
        <f>1.06*1500</f>
        <v>1590</v>
      </c>
      <c r="F203" s="38">
        <f>ROUND(D203*E203,2)</f>
        <v>1590</v>
      </c>
      <c r="G203" s="36">
        <v>1</v>
      </c>
      <c r="H203" s="91"/>
      <c r="I203" s="38">
        <f>ROUND(G203*H203,2)</f>
        <v>0</v>
      </c>
    </row>
    <row r="204" spans="1:9" x14ac:dyDescent="0.3">
      <c r="A204" s="69" t="s">
        <v>290</v>
      </c>
      <c r="B204" s="70" t="s">
        <v>35</v>
      </c>
      <c r="C204" s="71" t="s">
        <v>188</v>
      </c>
      <c r="D204" s="36">
        <v>1</v>
      </c>
      <c r="E204" s="37">
        <f>1.06*500</f>
        <v>530</v>
      </c>
      <c r="F204" s="38">
        <f>ROUND(D204*E204,2)</f>
        <v>530</v>
      </c>
      <c r="G204" s="36">
        <v>1</v>
      </c>
      <c r="H204" s="91"/>
      <c r="I204" s="38">
        <f>ROUND(G204*H204,2)</f>
        <v>0</v>
      </c>
    </row>
    <row r="205" spans="1:9" x14ac:dyDescent="0.3">
      <c r="A205" s="85" t="s">
        <v>291</v>
      </c>
      <c r="B205" s="86" t="s">
        <v>5</v>
      </c>
      <c r="C205" s="87" t="s">
        <v>203</v>
      </c>
      <c r="D205" s="57">
        <f t="shared" ref="D205:I205" si="49">D214</f>
        <v>1</v>
      </c>
      <c r="E205" s="58">
        <f t="shared" si="49"/>
        <v>768.5</v>
      </c>
      <c r="F205" s="59">
        <f t="shared" si="49"/>
        <v>768.5</v>
      </c>
      <c r="G205" s="57">
        <f t="shared" si="49"/>
        <v>1</v>
      </c>
      <c r="H205" s="99">
        <f t="shared" si="49"/>
        <v>0</v>
      </c>
      <c r="I205" s="59">
        <f t="shared" si="49"/>
        <v>0</v>
      </c>
    </row>
    <row r="206" spans="1:9" x14ac:dyDescent="0.3">
      <c r="A206" s="69" t="s">
        <v>292</v>
      </c>
      <c r="B206" s="70" t="s">
        <v>35</v>
      </c>
      <c r="C206" s="71" t="s">
        <v>256</v>
      </c>
      <c r="D206" s="36">
        <v>2</v>
      </c>
      <c r="E206" s="37">
        <f>1.06*5</f>
        <v>5.3</v>
      </c>
      <c r="F206" s="38">
        <f t="shared" ref="F206:F214" si="50">ROUND(D206*E206,2)</f>
        <v>10.6</v>
      </c>
      <c r="G206" s="36">
        <v>2</v>
      </c>
      <c r="H206" s="91"/>
      <c r="I206" s="38">
        <f t="shared" ref="I206:I214" si="51">ROUND(G206*H206,2)</f>
        <v>0</v>
      </c>
    </row>
    <row r="207" spans="1:9" x14ac:dyDescent="0.3">
      <c r="A207" s="69" t="s">
        <v>293</v>
      </c>
      <c r="B207" s="70" t="s">
        <v>35</v>
      </c>
      <c r="C207" s="71" t="s">
        <v>258</v>
      </c>
      <c r="D207" s="36">
        <v>6</v>
      </c>
      <c r="E207" s="37">
        <f>1.06*5</f>
        <v>5.3</v>
      </c>
      <c r="F207" s="38">
        <f t="shared" si="50"/>
        <v>31.8</v>
      </c>
      <c r="G207" s="36">
        <v>6</v>
      </c>
      <c r="H207" s="91"/>
      <c r="I207" s="38">
        <f t="shared" si="51"/>
        <v>0</v>
      </c>
    </row>
    <row r="208" spans="1:9" x14ac:dyDescent="0.3">
      <c r="A208" s="69" t="s">
        <v>294</v>
      </c>
      <c r="B208" s="70" t="s">
        <v>35</v>
      </c>
      <c r="C208" s="71" t="s">
        <v>209</v>
      </c>
      <c r="D208" s="36">
        <v>60</v>
      </c>
      <c r="E208" s="37">
        <f>1.06*5</f>
        <v>5.3</v>
      </c>
      <c r="F208" s="38">
        <f t="shared" si="50"/>
        <v>318</v>
      </c>
      <c r="G208" s="36">
        <v>60</v>
      </c>
      <c r="H208" s="91"/>
      <c r="I208" s="38">
        <f t="shared" si="51"/>
        <v>0</v>
      </c>
    </row>
    <row r="209" spans="1:9" x14ac:dyDescent="0.3">
      <c r="A209" s="69" t="s">
        <v>295</v>
      </c>
      <c r="B209" s="70" t="s">
        <v>35</v>
      </c>
      <c r="C209" s="71" t="s">
        <v>211</v>
      </c>
      <c r="D209" s="36">
        <v>10</v>
      </c>
      <c r="E209" s="37">
        <f>1.06*5</f>
        <v>5.3</v>
      </c>
      <c r="F209" s="38">
        <f t="shared" si="50"/>
        <v>53</v>
      </c>
      <c r="G209" s="36">
        <v>10</v>
      </c>
      <c r="H209" s="91"/>
      <c r="I209" s="38">
        <f t="shared" si="51"/>
        <v>0</v>
      </c>
    </row>
    <row r="210" spans="1:9" x14ac:dyDescent="0.3">
      <c r="A210" s="69" t="s">
        <v>296</v>
      </c>
      <c r="B210" s="70" t="s">
        <v>35</v>
      </c>
      <c r="C210" s="71" t="s">
        <v>213</v>
      </c>
      <c r="D210" s="36">
        <v>15</v>
      </c>
      <c r="E210" s="37">
        <f>1.06*15</f>
        <v>15.9</v>
      </c>
      <c r="F210" s="38">
        <f t="shared" si="50"/>
        <v>238.5</v>
      </c>
      <c r="G210" s="36">
        <v>15</v>
      </c>
      <c r="H210" s="91"/>
      <c r="I210" s="38">
        <f t="shared" si="51"/>
        <v>0</v>
      </c>
    </row>
    <row r="211" spans="1:9" x14ac:dyDescent="0.3">
      <c r="A211" s="69" t="s">
        <v>297</v>
      </c>
      <c r="B211" s="70" t="s">
        <v>35</v>
      </c>
      <c r="C211" s="71" t="s">
        <v>263</v>
      </c>
      <c r="D211" s="36">
        <v>20</v>
      </c>
      <c r="E211" s="37">
        <f>1.06*2</f>
        <v>2.12</v>
      </c>
      <c r="F211" s="38">
        <f t="shared" si="50"/>
        <v>42.4</v>
      </c>
      <c r="G211" s="36">
        <v>20</v>
      </c>
      <c r="H211" s="91"/>
      <c r="I211" s="38">
        <f t="shared" si="51"/>
        <v>0</v>
      </c>
    </row>
    <row r="212" spans="1:9" x14ac:dyDescent="0.3">
      <c r="A212" s="69" t="s">
        <v>298</v>
      </c>
      <c r="B212" s="70" t="s">
        <v>35</v>
      </c>
      <c r="C212" s="71" t="s">
        <v>265</v>
      </c>
      <c r="D212" s="36">
        <v>10</v>
      </c>
      <c r="E212" s="37">
        <f>1.06*2</f>
        <v>2.12</v>
      </c>
      <c r="F212" s="38">
        <f t="shared" si="50"/>
        <v>21.2</v>
      </c>
      <c r="G212" s="36">
        <v>10</v>
      </c>
      <c r="H212" s="91"/>
      <c r="I212" s="38">
        <f t="shared" si="51"/>
        <v>0</v>
      </c>
    </row>
    <row r="213" spans="1:9" x14ac:dyDescent="0.3">
      <c r="A213" s="69" t="s">
        <v>299</v>
      </c>
      <c r="B213" s="70" t="s">
        <v>35</v>
      </c>
      <c r="C213" s="71" t="s">
        <v>267</v>
      </c>
      <c r="D213" s="36">
        <v>10</v>
      </c>
      <c r="E213" s="37">
        <f>1.06*5</f>
        <v>5.3</v>
      </c>
      <c r="F213" s="38">
        <f t="shared" si="50"/>
        <v>53</v>
      </c>
      <c r="G213" s="36">
        <v>10</v>
      </c>
      <c r="H213" s="91"/>
      <c r="I213" s="38">
        <f t="shared" si="51"/>
        <v>0</v>
      </c>
    </row>
    <row r="214" spans="1:9" x14ac:dyDescent="0.3">
      <c r="A214" s="72"/>
      <c r="B214" s="73"/>
      <c r="C214" s="74" t="s">
        <v>300</v>
      </c>
      <c r="D214" s="36">
        <v>1</v>
      </c>
      <c r="E214" s="40">
        <f>SUM(F206:F213)</f>
        <v>768.5</v>
      </c>
      <c r="F214" s="41">
        <f t="shared" si="50"/>
        <v>768.5</v>
      </c>
      <c r="G214" s="36">
        <v>1</v>
      </c>
      <c r="H214" s="92">
        <f>SUM(I206:I213)</f>
        <v>0</v>
      </c>
      <c r="I214" s="41">
        <f t="shared" si="51"/>
        <v>0</v>
      </c>
    </row>
    <row r="215" spans="1:9" ht="1.05" customHeight="1" x14ac:dyDescent="0.3">
      <c r="A215" s="42"/>
      <c r="B215" s="43"/>
      <c r="C215" s="75"/>
      <c r="D215" s="42"/>
      <c r="E215" s="43"/>
      <c r="F215" s="44"/>
      <c r="G215" s="42"/>
      <c r="H215" s="91"/>
      <c r="I215" s="44"/>
    </row>
    <row r="216" spans="1:9" x14ac:dyDescent="0.3">
      <c r="A216" s="85" t="s">
        <v>301</v>
      </c>
      <c r="B216" s="86" t="s">
        <v>5</v>
      </c>
      <c r="C216" s="87" t="s">
        <v>226</v>
      </c>
      <c r="D216" s="57">
        <f t="shared" ref="D216:I216" si="52">D221</f>
        <v>1</v>
      </c>
      <c r="E216" s="58">
        <f t="shared" si="52"/>
        <v>392.2</v>
      </c>
      <c r="F216" s="59">
        <f t="shared" si="52"/>
        <v>392.2</v>
      </c>
      <c r="G216" s="57">
        <f t="shared" si="52"/>
        <v>1</v>
      </c>
      <c r="H216" s="99">
        <f t="shared" si="52"/>
        <v>0</v>
      </c>
      <c r="I216" s="59">
        <f t="shared" si="52"/>
        <v>0</v>
      </c>
    </row>
    <row r="217" spans="1:9" x14ac:dyDescent="0.3">
      <c r="A217" s="69" t="s">
        <v>302</v>
      </c>
      <c r="B217" s="70" t="s">
        <v>35</v>
      </c>
      <c r="C217" s="71" t="s">
        <v>256</v>
      </c>
      <c r="D217" s="36">
        <v>4</v>
      </c>
      <c r="E217" s="37">
        <f>1.06*5</f>
        <v>5.3</v>
      </c>
      <c r="F217" s="38">
        <f>ROUND(D217*E217,2)</f>
        <v>21.2</v>
      </c>
      <c r="G217" s="36">
        <v>4</v>
      </c>
      <c r="H217" s="91"/>
      <c r="I217" s="38">
        <f>ROUND(G217*H217,2)</f>
        <v>0</v>
      </c>
    </row>
    <row r="218" spans="1:9" x14ac:dyDescent="0.3">
      <c r="A218" s="69" t="s">
        <v>303</v>
      </c>
      <c r="B218" s="70" t="s">
        <v>35</v>
      </c>
      <c r="C218" s="71" t="s">
        <v>272</v>
      </c>
      <c r="D218" s="36">
        <v>2</v>
      </c>
      <c r="E218" s="37">
        <f>1.06*5</f>
        <v>5.3</v>
      </c>
      <c r="F218" s="38">
        <f>ROUND(D218*E218,2)</f>
        <v>10.6</v>
      </c>
      <c r="G218" s="36">
        <v>2</v>
      </c>
      <c r="H218" s="91"/>
      <c r="I218" s="38">
        <f>ROUND(G218*H218,2)</f>
        <v>0</v>
      </c>
    </row>
    <row r="219" spans="1:9" x14ac:dyDescent="0.3">
      <c r="A219" s="69" t="s">
        <v>304</v>
      </c>
      <c r="B219" s="70" t="s">
        <v>35</v>
      </c>
      <c r="C219" s="71" t="s">
        <v>209</v>
      </c>
      <c r="D219" s="36">
        <v>8</v>
      </c>
      <c r="E219" s="37">
        <f>1.06*5</f>
        <v>5.3</v>
      </c>
      <c r="F219" s="38">
        <f>ROUND(D219*E219,2)</f>
        <v>42.4</v>
      </c>
      <c r="G219" s="36">
        <v>8</v>
      </c>
      <c r="H219" s="91"/>
      <c r="I219" s="38">
        <f>ROUND(G219*H219,2)</f>
        <v>0</v>
      </c>
    </row>
    <row r="220" spans="1:9" x14ac:dyDescent="0.3">
      <c r="A220" s="69" t="s">
        <v>305</v>
      </c>
      <c r="B220" s="70" t="s">
        <v>35</v>
      </c>
      <c r="C220" s="71" t="s">
        <v>213</v>
      </c>
      <c r="D220" s="36">
        <v>20</v>
      </c>
      <c r="E220" s="37">
        <f>1.06*15</f>
        <v>15.9</v>
      </c>
      <c r="F220" s="38">
        <f>ROUND(D220*E220,2)</f>
        <v>318</v>
      </c>
      <c r="G220" s="36">
        <v>20</v>
      </c>
      <c r="H220" s="91"/>
      <c r="I220" s="38">
        <f>ROUND(G220*H220,2)</f>
        <v>0</v>
      </c>
    </row>
    <row r="221" spans="1:9" x14ac:dyDescent="0.3">
      <c r="A221" s="72"/>
      <c r="B221" s="73"/>
      <c r="C221" s="74" t="s">
        <v>306</v>
      </c>
      <c r="D221" s="36">
        <v>1</v>
      </c>
      <c r="E221" s="40">
        <f>SUM(F217:F220)</f>
        <v>392.2</v>
      </c>
      <c r="F221" s="41">
        <f>ROUND(D221*E221,2)</f>
        <v>392.2</v>
      </c>
      <c r="G221" s="36">
        <v>1</v>
      </c>
      <c r="H221" s="92">
        <f>SUM(I217:I220)</f>
        <v>0</v>
      </c>
      <c r="I221" s="41">
        <f>ROUND(G221*H221,2)</f>
        <v>0</v>
      </c>
    </row>
    <row r="222" spans="1:9" ht="1.05" customHeight="1" x14ac:dyDescent="0.3">
      <c r="A222" s="42"/>
      <c r="B222" s="43"/>
      <c r="C222" s="75"/>
      <c r="D222" s="42"/>
      <c r="E222" s="43"/>
      <c r="F222" s="44"/>
      <c r="G222" s="42"/>
      <c r="H222" s="91"/>
      <c r="I222" s="44"/>
    </row>
    <row r="223" spans="1:9" x14ac:dyDescent="0.3">
      <c r="A223" s="85" t="s">
        <v>307</v>
      </c>
      <c r="B223" s="86" t="s">
        <v>5</v>
      </c>
      <c r="C223" s="87" t="s">
        <v>233</v>
      </c>
      <c r="D223" s="57">
        <f t="shared" ref="D223:I223" si="53">D232</f>
        <v>1</v>
      </c>
      <c r="E223" s="58">
        <f t="shared" si="53"/>
        <v>895.7</v>
      </c>
      <c r="F223" s="59">
        <f t="shared" si="53"/>
        <v>895.7</v>
      </c>
      <c r="G223" s="57">
        <f t="shared" si="53"/>
        <v>1</v>
      </c>
      <c r="H223" s="99">
        <f t="shared" si="53"/>
        <v>0</v>
      </c>
      <c r="I223" s="59">
        <f t="shared" si="53"/>
        <v>0</v>
      </c>
    </row>
    <row r="224" spans="1:9" x14ac:dyDescent="0.3">
      <c r="A224" s="69" t="s">
        <v>308</v>
      </c>
      <c r="B224" s="70" t="s">
        <v>35</v>
      </c>
      <c r="C224" s="71" t="s">
        <v>256</v>
      </c>
      <c r="D224" s="36">
        <v>4</v>
      </c>
      <c r="E224" s="37">
        <f>1.06*5</f>
        <v>5.3</v>
      </c>
      <c r="F224" s="38">
        <f t="shared" ref="F224:F232" si="54">ROUND(D224*E224,2)</f>
        <v>21.2</v>
      </c>
      <c r="G224" s="36">
        <v>4</v>
      </c>
      <c r="H224" s="91"/>
      <c r="I224" s="38">
        <f t="shared" ref="I224:I232" si="55">ROUND(G224*H224,2)</f>
        <v>0</v>
      </c>
    </row>
    <row r="225" spans="1:9" x14ac:dyDescent="0.3">
      <c r="A225" s="69" t="s">
        <v>309</v>
      </c>
      <c r="B225" s="70" t="s">
        <v>35</v>
      </c>
      <c r="C225" s="71" t="s">
        <v>258</v>
      </c>
      <c r="D225" s="36">
        <v>6</v>
      </c>
      <c r="E225" s="37">
        <f>1.06*5</f>
        <v>5.3</v>
      </c>
      <c r="F225" s="38">
        <f t="shared" si="54"/>
        <v>31.8</v>
      </c>
      <c r="G225" s="36">
        <v>6</v>
      </c>
      <c r="H225" s="91"/>
      <c r="I225" s="38">
        <f t="shared" si="55"/>
        <v>0</v>
      </c>
    </row>
    <row r="226" spans="1:9" x14ac:dyDescent="0.3">
      <c r="A226" s="69" t="s">
        <v>310</v>
      </c>
      <c r="B226" s="70" t="s">
        <v>35</v>
      </c>
      <c r="C226" s="71" t="s">
        <v>209</v>
      </c>
      <c r="D226" s="36">
        <v>60</v>
      </c>
      <c r="E226" s="37">
        <f>1.06*5</f>
        <v>5.3</v>
      </c>
      <c r="F226" s="38">
        <f t="shared" si="54"/>
        <v>318</v>
      </c>
      <c r="G226" s="36">
        <v>60</v>
      </c>
      <c r="H226" s="91"/>
      <c r="I226" s="38">
        <f t="shared" si="55"/>
        <v>0</v>
      </c>
    </row>
    <row r="227" spans="1:9" x14ac:dyDescent="0.3">
      <c r="A227" s="69" t="s">
        <v>311</v>
      </c>
      <c r="B227" s="70" t="s">
        <v>35</v>
      </c>
      <c r="C227" s="71" t="s">
        <v>211</v>
      </c>
      <c r="D227" s="36">
        <v>20</v>
      </c>
      <c r="E227" s="37">
        <f>1.06*5</f>
        <v>5.3</v>
      </c>
      <c r="F227" s="38">
        <f t="shared" si="54"/>
        <v>106</v>
      </c>
      <c r="G227" s="36">
        <v>20</v>
      </c>
      <c r="H227" s="91"/>
      <c r="I227" s="38">
        <f t="shared" si="55"/>
        <v>0</v>
      </c>
    </row>
    <row r="228" spans="1:9" x14ac:dyDescent="0.3">
      <c r="A228" s="69" t="s">
        <v>312</v>
      </c>
      <c r="B228" s="70" t="s">
        <v>35</v>
      </c>
      <c r="C228" s="71" t="s">
        <v>213</v>
      </c>
      <c r="D228" s="36">
        <v>15</v>
      </c>
      <c r="E228" s="37">
        <f>1.06*15</f>
        <v>15.9</v>
      </c>
      <c r="F228" s="38">
        <f t="shared" si="54"/>
        <v>238.5</v>
      </c>
      <c r="G228" s="36">
        <v>15</v>
      </c>
      <c r="H228" s="91"/>
      <c r="I228" s="38">
        <f t="shared" si="55"/>
        <v>0</v>
      </c>
    </row>
    <row r="229" spans="1:9" x14ac:dyDescent="0.3">
      <c r="A229" s="69" t="s">
        <v>313</v>
      </c>
      <c r="B229" s="70" t="s">
        <v>35</v>
      </c>
      <c r="C229" s="71" t="s">
        <v>263</v>
      </c>
      <c r="D229" s="36">
        <v>40</v>
      </c>
      <c r="E229" s="37">
        <f>1.06*2</f>
        <v>2.12</v>
      </c>
      <c r="F229" s="38">
        <f t="shared" si="54"/>
        <v>84.8</v>
      </c>
      <c r="G229" s="36">
        <v>40</v>
      </c>
      <c r="H229" s="91"/>
      <c r="I229" s="38">
        <f t="shared" si="55"/>
        <v>0</v>
      </c>
    </row>
    <row r="230" spans="1:9" x14ac:dyDescent="0.3">
      <c r="A230" s="69" t="s">
        <v>314</v>
      </c>
      <c r="B230" s="70" t="s">
        <v>35</v>
      </c>
      <c r="C230" s="71" t="s">
        <v>265</v>
      </c>
      <c r="D230" s="36">
        <v>20</v>
      </c>
      <c r="E230" s="37">
        <f>1.06*2</f>
        <v>2.12</v>
      </c>
      <c r="F230" s="38">
        <f t="shared" si="54"/>
        <v>42.4</v>
      </c>
      <c r="G230" s="36">
        <v>20</v>
      </c>
      <c r="H230" s="91"/>
      <c r="I230" s="38">
        <f t="shared" si="55"/>
        <v>0</v>
      </c>
    </row>
    <row r="231" spans="1:9" x14ac:dyDescent="0.3">
      <c r="A231" s="69" t="s">
        <v>315</v>
      </c>
      <c r="B231" s="70" t="s">
        <v>35</v>
      </c>
      <c r="C231" s="71" t="s">
        <v>267</v>
      </c>
      <c r="D231" s="36">
        <v>10</v>
      </c>
      <c r="E231" s="37">
        <f>1.06*5</f>
        <v>5.3</v>
      </c>
      <c r="F231" s="38">
        <f t="shared" si="54"/>
        <v>53</v>
      </c>
      <c r="G231" s="36">
        <v>10</v>
      </c>
      <c r="H231" s="91"/>
      <c r="I231" s="38">
        <f t="shared" si="55"/>
        <v>0</v>
      </c>
    </row>
    <row r="232" spans="1:9" x14ac:dyDescent="0.3">
      <c r="A232" s="72"/>
      <c r="B232" s="73"/>
      <c r="C232" s="74" t="s">
        <v>316</v>
      </c>
      <c r="D232" s="36">
        <v>1</v>
      </c>
      <c r="E232" s="40">
        <f>SUM(F224:F231)</f>
        <v>895.7</v>
      </c>
      <c r="F232" s="41">
        <f t="shared" si="54"/>
        <v>895.7</v>
      </c>
      <c r="G232" s="36">
        <v>1</v>
      </c>
      <c r="H232" s="92">
        <f>SUM(I224:I231)</f>
        <v>0</v>
      </c>
      <c r="I232" s="41">
        <f t="shared" si="55"/>
        <v>0</v>
      </c>
    </row>
    <row r="233" spans="1:9" ht="1.05" customHeight="1" x14ac:dyDescent="0.3">
      <c r="A233" s="42"/>
      <c r="B233" s="43"/>
      <c r="C233" s="75"/>
      <c r="D233" s="42"/>
      <c r="E233" s="43"/>
      <c r="F233" s="44"/>
      <c r="G233" s="42"/>
      <c r="H233" s="91"/>
      <c r="I233" s="44"/>
    </row>
    <row r="234" spans="1:9" x14ac:dyDescent="0.3">
      <c r="A234" s="72"/>
      <c r="B234" s="73"/>
      <c r="C234" s="74" t="s">
        <v>317</v>
      </c>
      <c r="D234" s="36">
        <v>1</v>
      </c>
      <c r="E234" s="40">
        <f>F203+F204+F205+F216+F223</f>
        <v>4176.3999999999996</v>
      </c>
      <c r="F234" s="41">
        <f>ROUND(D234*E234,2)</f>
        <v>4176.3999999999996</v>
      </c>
      <c r="G234" s="36">
        <v>1</v>
      </c>
      <c r="H234" s="92">
        <f>I203+I204+I205+I216+I223</f>
        <v>0</v>
      </c>
      <c r="I234" s="41">
        <f>ROUND(G234*H234,2)</f>
        <v>0</v>
      </c>
    </row>
    <row r="235" spans="1:9" ht="1.05" customHeight="1" x14ac:dyDescent="0.3">
      <c r="A235" s="42"/>
      <c r="B235" s="43"/>
      <c r="C235" s="75"/>
      <c r="D235" s="42"/>
      <c r="E235" s="43"/>
      <c r="F235" s="44"/>
      <c r="G235" s="42"/>
      <c r="H235" s="91"/>
      <c r="I235" s="44"/>
    </row>
    <row r="236" spans="1:9" x14ac:dyDescent="0.3">
      <c r="A236" s="72"/>
      <c r="B236" s="73"/>
      <c r="C236" s="74" t="s">
        <v>318</v>
      </c>
      <c r="D236" s="36">
        <v>1</v>
      </c>
      <c r="E236" s="40">
        <f>F168+F202</f>
        <v>8352.7999999999993</v>
      </c>
      <c r="F236" s="41">
        <f>ROUND(D236*E236,2)</f>
        <v>8352.7999999999993</v>
      </c>
      <c r="G236" s="36">
        <v>1</v>
      </c>
      <c r="H236" s="92">
        <f>I168+I202</f>
        <v>0</v>
      </c>
      <c r="I236" s="41">
        <f>ROUND(G236*H236,2)</f>
        <v>0</v>
      </c>
    </row>
    <row r="237" spans="1:9" ht="1.05" customHeight="1" x14ac:dyDescent="0.3">
      <c r="A237" s="42"/>
      <c r="B237" s="43"/>
      <c r="C237" s="75"/>
      <c r="D237" s="42"/>
      <c r="E237" s="43"/>
      <c r="F237" s="44"/>
      <c r="G237" s="42"/>
      <c r="H237" s="91"/>
      <c r="I237" s="44"/>
    </row>
    <row r="238" spans="1:9" ht="20.399999999999999" x14ac:dyDescent="0.3">
      <c r="A238" s="69" t="s">
        <v>48</v>
      </c>
      <c r="B238" s="70" t="s">
        <v>48</v>
      </c>
      <c r="C238" s="71" t="s">
        <v>319</v>
      </c>
      <c r="D238" s="36">
        <v>1</v>
      </c>
      <c r="E238" s="37">
        <f>1.06*9433.96</f>
        <v>10000</v>
      </c>
      <c r="F238" s="38">
        <f>ROUND(D238*E238,2)</f>
        <v>10000</v>
      </c>
      <c r="G238" s="36">
        <v>1</v>
      </c>
      <c r="H238" s="95">
        <f>1.06*9433.96</f>
        <v>10000</v>
      </c>
      <c r="I238" s="38">
        <f>ROUND(G238*H238,2)</f>
        <v>10000</v>
      </c>
    </row>
    <row r="239" spans="1:9" x14ac:dyDescent="0.3">
      <c r="A239" s="72"/>
      <c r="B239" s="73"/>
      <c r="C239" s="74" t="s">
        <v>320</v>
      </c>
      <c r="D239" s="36">
        <v>1</v>
      </c>
      <c r="E239" s="40">
        <f>F113+F167+F238</f>
        <v>31135.919999999998</v>
      </c>
      <c r="F239" s="41">
        <f>ROUND(D239*E239,2)</f>
        <v>31135.919999999998</v>
      </c>
      <c r="G239" s="36">
        <v>1</v>
      </c>
      <c r="H239" s="92">
        <f>I113+I167+I238</f>
        <v>10000</v>
      </c>
      <c r="I239" s="41">
        <f>ROUND(G239*H239,2)</f>
        <v>10000</v>
      </c>
    </row>
    <row r="240" spans="1:9" ht="1.05" customHeight="1" x14ac:dyDescent="0.3">
      <c r="A240" s="42"/>
      <c r="B240" s="43"/>
      <c r="C240" s="75"/>
      <c r="D240" s="42"/>
      <c r="E240" s="43"/>
      <c r="F240" s="44"/>
      <c r="G240" s="42"/>
      <c r="H240" s="91"/>
      <c r="I240" s="44"/>
    </row>
    <row r="241" spans="1:9" x14ac:dyDescent="0.3">
      <c r="A241" s="72"/>
      <c r="B241" s="73"/>
      <c r="C241" s="74" t="s">
        <v>321</v>
      </c>
      <c r="D241" s="39">
        <v>1</v>
      </c>
      <c r="E241" s="40">
        <f>F92+F98+F112</f>
        <v>125158.6</v>
      </c>
      <c r="F241" s="41">
        <f>ROUND(D241*E241,2)</f>
        <v>125158.6</v>
      </c>
      <c r="G241" s="39">
        <v>1</v>
      </c>
      <c r="H241" s="92">
        <f>I92+I98+I112</f>
        <v>45000</v>
      </c>
      <c r="I241" s="41">
        <f>ROUND(G241*H241,2)</f>
        <v>45000</v>
      </c>
    </row>
    <row r="242" spans="1:9" ht="1.05" customHeight="1" x14ac:dyDescent="0.3">
      <c r="A242" s="42"/>
      <c r="B242" s="43"/>
      <c r="C242" s="75"/>
      <c r="D242" s="42"/>
      <c r="E242" s="43"/>
      <c r="F242" s="44"/>
      <c r="G242" s="42"/>
      <c r="H242" s="91"/>
      <c r="I242" s="44"/>
    </row>
    <row r="243" spans="1:9" x14ac:dyDescent="0.3">
      <c r="A243" s="66" t="s">
        <v>322</v>
      </c>
      <c r="B243" s="67" t="s">
        <v>5</v>
      </c>
      <c r="C243" s="68" t="s">
        <v>323</v>
      </c>
      <c r="D243" s="33">
        <f t="shared" ref="D243:I243" si="56">D433</f>
        <v>1</v>
      </c>
      <c r="E243" s="34">
        <f t="shared" si="56"/>
        <v>173369.68</v>
      </c>
      <c r="F243" s="35">
        <f t="shared" si="56"/>
        <v>173369.68</v>
      </c>
      <c r="G243" s="33">
        <f t="shared" si="56"/>
        <v>1</v>
      </c>
      <c r="H243" s="93">
        <f t="shared" si="56"/>
        <v>0</v>
      </c>
      <c r="I243" s="35">
        <f t="shared" si="56"/>
        <v>0</v>
      </c>
    </row>
    <row r="244" spans="1:9" x14ac:dyDescent="0.3">
      <c r="A244" s="76" t="s">
        <v>324</v>
      </c>
      <c r="B244" s="77" t="s">
        <v>5</v>
      </c>
      <c r="C244" s="78" t="s">
        <v>325</v>
      </c>
      <c r="D244" s="45">
        <f t="shared" ref="D244:I244" si="57">D256</f>
        <v>1</v>
      </c>
      <c r="E244" s="46">
        <f t="shared" si="57"/>
        <v>16897.37</v>
      </c>
      <c r="F244" s="47">
        <f t="shared" si="57"/>
        <v>16897.37</v>
      </c>
      <c r="G244" s="45">
        <f t="shared" si="57"/>
        <v>1</v>
      </c>
      <c r="H244" s="94">
        <f t="shared" si="57"/>
        <v>0</v>
      </c>
      <c r="I244" s="47">
        <f t="shared" si="57"/>
        <v>0</v>
      </c>
    </row>
    <row r="245" spans="1:9" ht="20.399999999999999" x14ac:dyDescent="0.3">
      <c r="A245" s="69" t="s">
        <v>326</v>
      </c>
      <c r="B245" s="70" t="s">
        <v>35</v>
      </c>
      <c r="C245" s="71" t="s">
        <v>327</v>
      </c>
      <c r="D245" s="36">
        <v>1</v>
      </c>
      <c r="E245" s="37">
        <f>1.06*250</f>
        <v>265</v>
      </c>
      <c r="F245" s="38">
        <f t="shared" ref="F245:F256" si="58">ROUND(D245*E245,2)</f>
        <v>265</v>
      </c>
      <c r="G245" s="36">
        <v>1</v>
      </c>
      <c r="H245" s="91"/>
      <c r="I245" s="38">
        <f t="shared" ref="I245:I256" si="59">ROUND(G245*H245,2)</f>
        <v>0</v>
      </c>
    </row>
    <row r="246" spans="1:9" ht="20.399999999999999" x14ac:dyDescent="0.3">
      <c r="A246" s="69" t="s">
        <v>328</v>
      </c>
      <c r="B246" s="70" t="s">
        <v>35</v>
      </c>
      <c r="C246" s="71" t="s">
        <v>329</v>
      </c>
      <c r="D246" s="36">
        <v>3</v>
      </c>
      <c r="E246" s="37">
        <f>1.06*1270</f>
        <v>1346.2</v>
      </c>
      <c r="F246" s="38">
        <f t="shared" si="58"/>
        <v>4038.6</v>
      </c>
      <c r="G246" s="36">
        <v>3</v>
      </c>
      <c r="H246" s="91"/>
      <c r="I246" s="38">
        <f t="shared" si="59"/>
        <v>0</v>
      </c>
    </row>
    <row r="247" spans="1:9" ht="20.399999999999999" x14ac:dyDescent="0.3">
      <c r="A247" s="69" t="s">
        <v>330</v>
      </c>
      <c r="B247" s="70" t="s">
        <v>35</v>
      </c>
      <c r="C247" s="71" t="s">
        <v>331</v>
      </c>
      <c r="D247" s="36">
        <v>2</v>
      </c>
      <c r="E247" s="37">
        <f>1.06*2769.67</f>
        <v>2935.85</v>
      </c>
      <c r="F247" s="38">
        <f t="shared" si="58"/>
        <v>5871.7</v>
      </c>
      <c r="G247" s="36">
        <v>2</v>
      </c>
      <c r="H247" s="91"/>
      <c r="I247" s="38">
        <f t="shared" si="59"/>
        <v>0</v>
      </c>
    </row>
    <row r="248" spans="1:9" ht="40.799999999999997" x14ac:dyDescent="0.3">
      <c r="A248" s="69" t="s">
        <v>332</v>
      </c>
      <c r="B248" s="70" t="s">
        <v>35</v>
      </c>
      <c r="C248" s="71" t="s">
        <v>333</v>
      </c>
      <c r="D248" s="36">
        <v>1</v>
      </c>
      <c r="E248" s="37">
        <f>1.06*750.26</f>
        <v>795.28</v>
      </c>
      <c r="F248" s="38">
        <f t="shared" si="58"/>
        <v>795.28</v>
      </c>
      <c r="G248" s="36">
        <v>1</v>
      </c>
      <c r="H248" s="91"/>
      <c r="I248" s="38">
        <f t="shared" si="59"/>
        <v>0</v>
      </c>
    </row>
    <row r="249" spans="1:9" ht="30.6" x14ac:dyDescent="0.3">
      <c r="A249" s="69" t="s">
        <v>334</v>
      </c>
      <c r="B249" s="70" t="s">
        <v>35</v>
      </c>
      <c r="C249" s="71" t="s">
        <v>335</v>
      </c>
      <c r="D249" s="36">
        <v>1</v>
      </c>
      <c r="E249" s="37">
        <f>1.06*875.25</f>
        <v>927.77</v>
      </c>
      <c r="F249" s="38">
        <f t="shared" si="58"/>
        <v>927.77</v>
      </c>
      <c r="G249" s="36">
        <v>1</v>
      </c>
      <c r="H249" s="91"/>
      <c r="I249" s="38">
        <f t="shared" si="59"/>
        <v>0</v>
      </c>
    </row>
    <row r="250" spans="1:9" ht="30.6" x14ac:dyDescent="0.3">
      <c r="A250" s="69" t="s">
        <v>336</v>
      </c>
      <c r="B250" s="70" t="s">
        <v>35</v>
      </c>
      <c r="C250" s="71" t="s">
        <v>337</v>
      </c>
      <c r="D250" s="36">
        <v>1</v>
      </c>
      <c r="E250" s="37">
        <f>1.06*1165.28</f>
        <v>1235.2</v>
      </c>
      <c r="F250" s="38">
        <f t="shared" si="58"/>
        <v>1235.2</v>
      </c>
      <c r="G250" s="36">
        <v>1</v>
      </c>
      <c r="H250" s="91"/>
      <c r="I250" s="38">
        <f t="shared" si="59"/>
        <v>0</v>
      </c>
    </row>
    <row r="251" spans="1:9" ht="40.799999999999997" x14ac:dyDescent="0.3">
      <c r="A251" s="69" t="s">
        <v>338</v>
      </c>
      <c r="B251" s="70" t="s">
        <v>35</v>
      </c>
      <c r="C251" s="71" t="s">
        <v>339</v>
      </c>
      <c r="D251" s="36">
        <v>1</v>
      </c>
      <c r="E251" s="37">
        <f>1.06*650.24</f>
        <v>689.25</v>
      </c>
      <c r="F251" s="38">
        <f t="shared" si="58"/>
        <v>689.25</v>
      </c>
      <c r="G251" s="36">
        <v>1</v>
      </c>
      <c r="H251" s="91"/>
      <c r="I251" s="38">
        <f t="shared" si="59"/>
        <v>0</v>
      </c>
    </row>
    <row r="252" spans="1:9" ht="30.6" x14ac:dyDescent="0.3">
      <c r="A252" s="69" t="s">
        <v>340</v>
      </c>
      <c r="B252" s="70" t="s">
        <v>35</v>
      </c>
      <c r="C252" s="71" t="s">
        <v>341</v>
      </c>
      <c r="D252" s="36">
        <v>1</v>
      </c>
      <c r="E252" s="37">
        <f>1.06*875.25</f>
        <v>927.77</v>
      </c>
      <c r="F252" s="38">
        <f t="shared" si="58"/>
        <v>927.77</v>
      </c>
      <c r="G252" s="36">
        <v>1</v>
      </c>
      <c r="H252" s="91"/>
      <c r="I252" s="38">
        <f t="shared" si="59"/>
        <v>0</v>
      </c>
    </row>
    <row r="253" spans="1:9" ht="30.6" x14ac:dyDescent="0.3">
      <c r="A253" s="69" t="s">
        <v>342</v>
      </c>
      <c r="B253" s="70" t="s">
        <v>35</v>
      </c>
      <c r="C253" s="71" t="s">
        <v>343</v>
      </c>
      <c r="D253" s="36">
        <v>1</v>
      </c>
      <c r="E253" s="37">
        <f>1.06*1165.28</f>
        <v>1235.2</v>
      </c>
      <c r="F253" s="38">
        <f t="shared" si="58"/>
        <v>1235.2</v>
      </c>
      <c r="G253" s="36">
        <v>1</v>
      </c>
      <c r="H253" s="91"/>
      <c r="I253" s="38">
        <f t="shared" si="59"/>
        <v>0</v>
      </c>
    </row>
    <row r="254" spans="1:9" ht="20.399999999999999" x14ac:dyDescent="0.3">
      <c r="A254" s="69" t="s">
        <v>344</v>
      </c>
      <c r="B254" s="70" t="s">
        <v>35</v>
      </c>
      <c r="C254" s="71" t="s">
        <v>345</v>
      </c>
      <c r="D254" s="36">
        <v>1</v>
      </c>
      <c r="E254" s="37">
        <f>1.06*610</f>
        <v>646.6</v>
      </c>
      <c r="F254" s="38">
        <f t="shared" si="58"/>
        <v>646.6</v>
      </c>
      <c r="G254" s="36">
        <v>1</v>
      </c>
      <c r="H254" s="91"/>
      <c r="I254" s="38">
        <f t="shared" si="59"/>
        <v>0</v>
      </c>
    </row>
    <row r="255" spans="1:9" ht="30.6" x14ac:dyDescent="0.3">
      <c r="A255" s="69" t="s">
        <v>346</v>
      </c>
      <c r="B255" s="70" t="s">
        <v>35</v>
      </c>
      <c r="C255" s="71" t="s">
        <v>347</v>
      </c>
      <c r="D255" s="36">
        <v>1</v>
      </c>
      <c r="E255" s="37">
        <f>1.06*250</f>
        <v>265</v>
      </c>
      <c r="F255" s="38">
        <f t="shared" si="58"/>
        <v>265</v>
      </c>
      <c r="G255" s="36">
        <v>1</v>
      </c>
      <c r="H255" s="91"/>
      <c r="I255" s="38">
        <f t="shared" si="59"/>
        <v>0</v>
      </c>
    </row>
    <row r="256" spans="1:9" x14ac:dyDescent="0.3">
      <c r="A256" s="72"/>
      <c r="B256" s="73"/>
      <c r="C256" s="74" t="s">
        <v>348</v>
      </c>
      <c r="D256" s="36">
        <v>1</v>
      </c>
      <c r="E256" s="40">
        <f>SUM(F245:F255)</f>
        <v>16897.37</v>
      </c>
      <c r="F256" s="41">
        <f t="shared" si="58"/>
        <v>16897.37</v>
      </c>
      <c r="G256" s="36">
        <v>1</v>
      </c>
      <c r="H256" s="92">
        <f>SUM(I245:I255)</f>
        <v>0</v>
      </c>
      <c r="I256" s="41">
        <f t="shared" si="59"/>
        <v>0</v>
      </c>
    </row>
    <row r="257" spans="1:9" ht="1.05" customHeight="1" x14ac:dyDescent="0.3">
      <c r="A257" s="42"/>
      <c r="B257" s="43"/>
      <c r="C257" s="75"/>
      <c r="D257" s="42"/>
      <c r="E257" s="43"/>
      <c r="F257" s="44"/>
      <c r="G257" s="42"/>
      <c r="H257" s="91"/>
      <c r="I257" s="44"/>
    </row>
    <row r="258" spans="1:9" x14ac:dyDescent="0.3">
      <c r="A258" s="76" t="s">
        <v>349</v>
      </c>
      <c r="B258" s="77" t="s">
        <v>5</v>
      </c>
      <c r="C258" s="78" t="s">
        <v>350</v>
      </c>
      <c r="D258" s="45">
        <f t="shared" ref="D258:I258" si="60">D294</f>
        <v>1</v>
      </c>
      <c r="E258" s="46">
        <f t="shared" si="60"/>
        <v>38819.730000000003</v>
      </c>
      <c r="F258" s="47">
        <f t="shared" si="60"/>
        <v>38819.730000000003</v>
      </c>
      <c r="G258" s="45">
        <f t="shared" si="60"/>
        <v>1</v>
      </c>
      <c r="H258" s="94">
        <f t="shared" si="60"/>
        <v>0</v>
      </c>
      <c r="I258" s="47">
        <f t="shared" si="60"/>
        <v>0</v>
      </c>
    </row>
    <row r="259" spans="1:9" ht="20.399999999999999" x14ac:dyDescent="0.3">
      <c r="A259" s="79" t="s">
        <v>351</v>
      </c>
      <c r="B259" s="80" t="s">
        <v>5</v>
      </c>
      <c r="C259" s="81" t="s">
        <v>352</v>
      </c>
      <c r="D259" s="50">
        <f t="shared" ref="D259:I259" si="61">D264</f>
        <v>1</v>
      </c>
      <c r="E259" s="51">
        <f t="shared" si="61"/>
        <v>3486.9</v>
      </c>
      <c r="F259" s="52">
        <f t="shared" si="61"/>
        <v>3486.9</v>
      </c>
      <c r="G259" s="50">
        <f t="shared" si="61"/>
        <v>1</v>
      </c>
      <c r="H259" s="97">
        <f t="shared" si="61"/>
        <v>0</v>
      </c>
      <c r="I259" s="52">
        <f t="shared" si="61"/>
        <v>0</v>
      </c>
    </row>
    <row r="260" spans="1:9" ht="20.399999999999999" x14ac:dyDescent="0.3">
      <c r="A260" s="69" t="s">
        <v>617</v>
      </c>
      <c r="B260" s="70" t="s">
        <v>35</v>
      </c>
      <c r="C260" s="71" t="s">
        <v>353</v>
      </c>
      <c r="D260" s="36">
        <v>2</v>
      </c>
      <c r="E260" s="37">
        <f>1.06*250</f>
        <v>265</v>
      </c>
      <c r="F260" s="38">
        <f>ROUND(D260*E260,2)</f>
        <v>530</v>
      </c>
      <c r="G260" s="36">
        <v>2</v>
      </c>
      <c r="H260" s="91"/>
      <c r="I260" s="38">
        <f>ROUND(G260*H260,2)</f>
        <v>0</v>
      </c>
    </row>
    <row r="261" spans="1:9" ht="20.399999999999999" x14ac:dyDescent="0.3">
      <c r="A261" s="69" t="s">
        <v>618</v>
      </c>
      <c r="B261" s="70" t="s">
        <v>35</v>
      </c>
      <c r="C261" s="71" t="s">
        <v>354</v>
      </c>
      <c r="D261" s="36">
        <v>2</v>
      </c>
      <c r="E261" s="37">
        <f>1.06*215</f>
        <v>227.9</v>
      </c>
      <c r="F261" s="38">
        <f>ROUND(D261*E261,2)</f>
        <v>455.8</v>
      </c>
      <c r="G261" s="36">
        <v>2</v>
      </c>
      <c r="H261" s="91"/>
      <c r="I261" s="38">
        <f>ROUND(G261*H261,2)</f>
        <v>0</v>
      </c>
    </row>
    <row r="262" spans="1:9" ht="20.399999999999999" x14ac:dyDescent="0.3">
      <c r="A262" s="69" t="s">
        <v>619</v>
      </c>
      <c r="B262" s="70" t="s">
        <v>35</v>
      </c>
      <c r="C262" s="71" t="s">
        <v>355</v>
      </c>
      <c r="D262" s="36">
        <v>2</v>
      </c>
      <c r="E262" s="37">
        <f>1.06*929.76</f>
        <v>985.55</v>
      </c>
      <c r="F262" s="38">
        <f>ROUND(D262*E262,2)</f>
        <v>1971.1</v>
      </c>
      <c r="G262" s="36">
        <v>2</v>
      </c>
      <c r="H262" s="91"/>
      <c r="I262" s="38">
        <f>ROUND(G262*H262,2)</f>
        <v>0</v>
      </c>
    </row>
    <row r="263" spans="1:9" ht="30.6" x14ac:dyDescent="0.3">
      <c r="A263" s="69" t="s">
        <v>620</v>
      </c>
      <c r="B263" s="70" t="s">
        <v>35</v>
      </c>
      <c r="C263" s="71" t="s">
        <v>356</v>
      </c>
      <c r="D263" s="36">
        <v>2</v>
      </c>
      <c r="E263" s="37">
        <f>1.06*250</f>
        <v>265</v>
      </c>
      <c r="F263" s="38">
        <f>ROUND(D263*E263,2)</f>
        <v>530</v>
      </c>
      <c r="G263" s="36">
        <v>2</v>
      </c>
      <c r="H263" s="91"/>
      <c r="I263" s="38">
        <f>ROUND(G263*H263,2)</f>
        <v>0</v>
      </c>
    </row>
    <row r="264" spans="1:9" x14ac:dyDescent="0.3">
      <c r="A264" s="72"/>
      <c r="B264" s="73"/>
      <c r="C264" s="74" t="s">
        <v>357</v>
      </c>
      <c r="D264" s="36">
        <v>1</v>
      </c>
      <c r="E264" s="40">
        <f>SUM(F260:F263)</f>
        <v>3486.9</v>
      </c>
      <c r="F264" s="41">
        <f>ROUND(D264*E264,2)</f>
        <v>3486.9</v>
      </c>
      <c r="G264" s="36">
        <v>1</v>
      </c>
      <c r="H264" s="92">
        <f>SUM(I260:I263)</f>
        <v>0</v>
      </c>
      <c r="I264" s="41">
        <f>ROUND(G264*H264,2)</f>
        <v>0</v>
      </c>
    </row>
    <row r="265" spans="1:9" ht="1.05" customHeight="1" x14ac:dyDescent="0.3">
      <c r="A265" s="42"/>
      <c r="B265" s="43"/>
      <c r="C265" s="75"/>
      <c r="D265" s="42"/>
      <c r="E265" s="43"/>
      <c r="F265" s="44"/>
      <c r="G265" s="42"/>
      <c r="H265" s="91"/>
      <c r="I265" s="44"/>
    </row>
    <row r="266" spans="1:9" ht="20.399999999999999" x14ac:dyDescent="0.3">
      <c r="A266" s="79" t="s">
        <v>358</v>
      </c>
      <c r="B266" s="80" t="s">
        <v>5</v>
      </c>
      <c r="C266" s="81" t="s">
        <v>359</v>
      </c>
      <c r="D266" s="50">
        <f t="shared" ref="D266:I266" si="62">D292</f>
        <v>1</v>
      </c>
      <c r="E266" s="51">
        <f t="shared" si="62"/>
        <v>35332.83</v>
      </c>
      <c r="F266" s="52">
        <f t="shared" si="62"/>
        <v>35332.83</v>
      </c>
      <c r="G266" s="50">
        <f t="shared" si="62"/>
        <v>1</v>
      </c>
      <c r="H266" s="97">
        <f t="shared" si="62"/>
        <v>0</v>
      </c>
      <c r="I266" s="52">
        <f t="shared" si="62"/>
        <v>0</v>
      </c>
    </row>
    <row r="267" spans="1:9" ht="20.399999999999999" x14ac:dyDescent="0.3">
      <c r="A267" s="69" t="s">
        <v>621</v>
      </c>
      <c r="B267" s="70" t="s">
        <v>35</v>
      </c>
      <c r="C267" s="71" t="s">
        <v>353</v>
      </c>
      <c r="D267" s="36">
        <v>1</v>
      </c>
      <c r="E267" s="37">
        <f>1.06*250</f>
        <v>265</v>
      </c>
      <c r="F267" s="38">
        <f t="shared" ref="F267:F292" si="63">ROUND(D267*E267,2)</f>
        <v>265</v>
      </c>
      <c r="G267" s="36">
        <v>1</v>
      </c>
      <c r="H267" s="91"/>
      <c r="I267" s="38">
        <f t="shared" ref="I267:I292" si="64">ROUND(G267*H267,2)</f>
        <v>0</v>
      </c>
    </row>
    <row r="268" spans="1:9" x14ac:dyDescent="0.3">
      <c r="A268" s="69" t="s">
        <v>622</v>
      </c>
      <c r="B268" s="70" t="s">
        <v>35</v>
      </c>
      <c r="C268" s="71" t="s">
        <v>360</v>
      </c>
      <c r="D268" s="36">
        <v>1</v>
      </c>
      <c r="E268" s="37">
        <f>1.06*375.6</f>
        <v>398.14</v>
      </c>
      <c r="F268" s="38">
        <f t="shared" si="63"/>
        <v>398.14</v>
      </c>
      <c r="G268" s="36">
        <v>1</v>
      </c>
      <c r="H268" s="91"/>
      <c r="I268" s="38">
        <f t="shared" si="64"/>
        <v>0</v>
      </c>
    </row>
    <row r="269" spans="1:9" ht="20.399999999999999" x14ac:dyDescent="0.3">
      <c r="A269" s="69" t="s">
        <v>623</v>
      </c>
      <c r="B269" s="70" t="s">
        <v>35</v>
      </c>
      <c r="C269" s="71" t="s">
        <v>354</v>
      </c>
      <c r="D269" s="36">
        <v>1</v>
      </c>
      <c r="E269" s="37">
        <f>1.06*215</f>
        <v>227.9</v>
      </c>
      <c r="F269" s="38">
        <f t="shared" si="63"/>
        <v>227.9</v>
      </c>
      <c r="G269" s="36">
        <v>1</v>
      </c>
      <c r="H269" s="91"/>
      <c r="I269" s="38">
        <f t="shared" si="64"/>
        <v>0</v>
      </c>
    </row>
    <row r="270" spans="1:9" ht="20.399999999999999" x14ac:dyDescent="0.3">
      <c r="A270" s="69" t="s">
        <v>624</v>
      </c>
      <c r="B270" s="70" t="s">
        <v>35</v>
      </c>
      <c r="C270" s="71" t="s">
        <v>361</v>
      </c>
      <c r="D270" s="36">
        <v>1</v>
      </c>
      <c r="E270" s="37">
        <f>1.06*341.5</f>
        <v>361.99</v>
      </c>
      <c r="F270" s="38">
        <f t="shared" si="63"/>
        <v>361.99</v>
      </c>
      <c r="G270" s="36">
        <v>1</v>
      </c>
      <c r="H270" s="91"/>
      <c r="I270" s="38">
        <f t="shared" si="64"/>
        <v>0</v>
      </c>
    </row>
    <row r="271" spans="1:9" ht="20.399999999999999" x14ac:dyDescent="0.3">
      <c r="A271" s="69" t="s">
        <v>625</v>
      </c>
      <c r="B271" s="70" t="s">
        <v>35</v>
      </c>
      <c r="C271" s="71" t="s">
        <v>362</v>
      </c>
      <c r="D271" s="36">
        <v>1</v>
      </c>
      <c r="E271" s="37">
        <f>1.06*2120.14</f>
        <v>2247.35</v>
      </c>
      <c r="F271" s="38">
        <f t="shared" si="63"/>
        <v>2247.35</v>
      </c>
      <c r="G271" s="36">
        <v>1</v>
      </c>
      <c r="H271" s="91"/>
      <c r="I271" s="38">
        <f t="shared" si="64"/>
        <v>0</v>
      </c>
    </row>
    <row r="272" spans="1:9" ht="20.399999999999999" x14ac:dyDescent="0.3">
      <c r="A272" s="69" t="s">
        <v>626</v>
      </c>
      <c r="B272" s="70" t="s">
        <v>35</v>
      </c>
      <c r="C272" s="71" t="s">
        <v>363</v>
      </c>
      <c r="D272" s="36">
        <v>1</v>
      </c>
      <c r="E272" s="37">
        <f>1.06*840.67</f>
        <v>891.11</v>
      </c>
      <c r="F272" s="38">
        <f t="shared" si="63"/>
        <v>891.11</v>
      </c>
      <c r="G272" s="36">
        <v>1</v>
      </c>
      <c r="H272" s="91"/>
      <c r="I272" s="38">
        <f t="shared" si="64"/>
        <v>0</v>
      </c>
    </row>
    <row r="273" spans="1:9" ht="20.399999999999999" x14ac:dyDescent="0.3">
      <c r="A273" s="69" t="s">
        <v>627</v>
      </c>
      <c r="B273" s="70" t="s">
        <v>35</v>
      </c>
      <c r="C273" s="71" t="s">
        <v>364</v>
      </c>
      <c r="D273" s="36">
        <v>1</v>
      </c>
      <c r="E273" s="37">
        <f>1.06*277.52</f>
        <v>294.17</v>
      </c>
      <c r="F273" s="38">
        <f t="shared" si="63"/>
        <v>294.17</v>
      </c>
      <c r="G273" s="36">
        <v>1</v>
      </c>
      <c r="H273" s="91"/>
      <c r="I273" s="38">
        <f t="shared" si="64"/>
        <v>0</v>
      </c>
    </row>
    <row r="274" spans="1:9" ht="20.399999999999999" x14ac:dyDescent="0.3">
      <c r="A274" s="69" t="s">
        <v>628</v>
      </c>
      <c r="B274" s="70" t="s">
        <v>35</v>
      </c>
      <c r="C274" s="71" t="s">
        <v>365</v>
      </c>
      <c r="D274" s="36">
        <v>1</v>
      </c>
      <c r="E274" s="37">
        <f>1.06*1135.29</f>
        <v>1203.4100000000001</v>
      </c>
      <c r="F274" s="38">
        <f t="shared" si="63"/>
        <v>1203.4100000000001</v>
      </c>
      <c r="G274" s="36">
        <v>1</v>
      </c>
      <c r="H274" s="91"/>
      <c r="I274" s="38">
        <f t="shared" si="64"/>
        <v>0</v>
      </c>
    </row>
    <row r="275" spans="1:9" ht="20.399999999999999" x14ac:dyDescent="0.3">
      <c r="A275" s="69" t="s">
        <v>629</v>
      </c>
      <c r="B275" s="70" t="s">
        <v>35</v>
      </c>
      <c r="C275" s="71" t="s">
        <v>366</v>
      </c>
      <c r="D275" s="36">
        <v>4</v>
      </c>
      <c r="E275" s="37">
        <f>1.06*120</f>
        <v>127.2</v>
      </c>
      <c r="F275" s="38">
        <f t="shared" si="63"/>
        <v>508.8</v>
      </c>
      <c r="G275" s="36">
        <v>4</v>
      </c>
      <c r="H275" s="91"/>
      <c r="I275" s="38">
        <f t="shared" si="64"/>
        <v>0</v>
      </c>
    </row>
    <row r="276" spans="1:9" ht="20.399999999999999" x14ac:dyDescent="0.3">
      <c r="A276" s="69" t="s">
        <v>630</v>
      </c>
      <c r="B276" s="70" t="s">
        <v>35</v>
      </c>
      <c r="C276" s="71" t="s">
        <v>367</v>
      </c>
      <c r="D276" s="36">
        <v>1</v>
      </c>
      <c r="E276" s="37">
        <f>1.06*791</f>
        <v>838.46</v>
      </c>
      <c r="F276" s="38">
        <f t="shared" si="63"/>
        <v>838.46</v>
      </c>
      <c r="G276" s="36">
        <v>1</v>
      </c>
      <c r="H276" s="91"/>
      <c r="I276" s="38">
        <f t="shared" si="64"/>
        <v>0</v>
      </c>
    </row>
    <row r="277" spans="1:9" ht="30.6" x14ac:dyDescent="0.3">
      <c r="A277" s="69" t="s">
        <v>631</v>
      </c>
      <c r="B277" s="70" t="s">
        <v>35</v>
      </c>
      <c r="C277" s="71" t="s">
        <v>368</v>
      </c>
      <c r="D277" s="36">
        <v>1</v>
      </c>
      <c r="E277" s="37">
        <f>1.06*638</f>
        <v>676.28</v>
      </c>
      <c r="F277" s="38">
        <f t="shared" si="63"/>
        <v>676.28</v>
      </c>
      <c r="G277" s="36">
        <v>1</v>
      </c>
      <c r="H277" s="91"/>
      <c r="I277" s="38">
        <f t="shared" si="64"/>
        <v>0</v>
      </c>
    </row>
    <row r="278" spans="1:9" ht="30.6" x14ac:dyDescent="0.3">
      <c r="A278" s="69" t="s">
        <v>632</v>
      </c>
      <c r="B278" s="70" t="s">
        <v>35</v>
      </c>
      <c r="C278" s="71" t="s">
        <v>369</v>
      </c>
      <c r="D278" s="36">
        <v>1</v>
      </c>
      <c r="E278" s="37">
        <f>1.06*215</f>
        <v>227.9</v>
      </c>
      <c r="F278" s="38">
        <f t="shared" si="63"/>
        <v>227.9</v>
      </c>
      <c r="G278" s="36">
        <v>1</v>
      </c>
      <c r="H278" s="91"/>
      <c r="I278" s="38">
        <f t="shared" si="64"/>
        <v>0</v>
      </c>
    </row>
    <row r="279" spans="1:9" ht="20.399999999999999" x14ac:dyDescent="0.3">
      <c r="A279" s="69" t="s">
        <v>633</v>
      </c>
      <c r="B279" s="70" t="s">
        <v>35</v>
      </c>
      <c r="C279" s="71" t="s">
        <v>370</v>
      </c>
      <c r="D279" s="36">
        <v>1</v>
      </c>
      <c r="E279" s="37">
        <f>1.06*750</f>
        <v>795</v>
      </c>
      <c r="F279" s="38">
        <f t="shared" si="63"/>
        <v>795</v>
      </c>
      <c r="G279" s="36">
        <v>1</v>
      </c>
      <c r="H279" s="91"/>
      <c r="I279" s="38">
        <f t="shared" si="64"/>
        <v>0</v>
      </c>
    </row>
    <row r="280" spans="1:9" ht="20.399999999999999" x14ac:dyDescent="0.3">
      <c r="A280" s="69" t="s">
        <v>634</v>
      </c>
      <c r="B280" s="70" t="s">
        <v>35</v>
      </c>
      <c r="C280" s="71" t="s">
        <v>371</v>
      </c>
      <c r="D280" s="36">
        <v>1</v>
      </c>
      <c r="E280" s="37">
        <f>1.06*967.89</f>
        <v>1025.96</v>
      </c>
      <c r="F280" s="38">
        <f t="shared" si="63"/>
        <v>1025.96</v>
      </c>
      <c r="G280" s="36">
        <v>1</v>
      </c>
      <c r="H280" s="91"/>
      <c r="I280" s="38">
        <f t="shared" si="64"/>
        <v>0</v>
      </c>
    </row>
    <row r="281" spans="1:9" ht="30.6" x14ac:dyDescent="0.3">
      <c r="A281" s="69" t="s">
        <v>635</v>
      </c>
      <c r="B281" s="70" t="s">
        <v>35</v>
      </c>
      <c r="C281" s="71" t="s">
        <v>372</v>
      </c>
      <c r="D281" s="36">
        <v>1</v>
      </c>
      <c r="E281" s="37">
        <f>1.06*854.4</f>
        <v>905.66</v>
      </c>
      <c r="F281" s="38">
        <f t="shared" si="63"/>
        <v>905.66</v>
      </c>
      <c r="G281" s="36">
        <v>1</v>
      </c>
      <c r="H281" s="91"/>
      <c r="I281" s="38">
        <f t="shared" si="64"/>
        <v>0</v>
      </c>
    </row>
    <row r="282" spans="1:9" ht="20.399999999999999" x14ac:dyDescent="0.3">
      <c r="A282" s="69" t="s">
        <v>636</v>
      </c>
      <c r="B282" s="70" t="s">
        <v>35</v>
      </c>
      <c r="C282" s="71" t="s">
        <v>373</v>
      </c>
      <c r="D282" s="36">
        <v>1</v>
      </c>
      <c r="E282" s="37">
        <f>1.06*1334.04</f>
        <v>1414.08</v>
      </c>
      <c r="F282" s="38">
        <f t="shared" si="63"/>
        <v>1414.08</v>
      </c>
      <c r="G282" s="36">
        <v>1</v>
      </c>
      <c r="H282" s="91"/>
      <c r="I282" s="38">
        <f t="shared" si="64"/>
        <v>0</v>
      </c>
    </row>
    <row r="283" spans="1:9" ht="20.399999999999999" x14ac:dyDescent="0.3">
      <c r="A283" s="69" t="s">
        <v>637</v>
      </c>
      <c r="B283" s="70" t="s">
        <v>35</v>
      </c>
      <c r="C283" s="71" t="s">
        <v>374</v>
      </c>
      <c r="D283" s="36">
        <v>1</v>
      </c>
      <c r="E283" s="37">
        <f>1.06*597.46</f>
        <v>633.30999999999995</v>
      </c>
      <c r="F283" s="38">
        <f t="shared" si="63"/>
        <v>633.30999999999995</v>
      </c>
      <c r="G283" s="36">
        <v>1</v>
      </c>
      <c r="H283" s="91"/>
      <c r="I283" s="38">
        <f t="shared" si="64"/>
        <v>0</v>
      </c>
    </row>
    <row r="284" spans="1:9" x14ac:dyDescent="0.3">
      <c r="A284" s="69" t="s">
        <v>638</v>
      </c>
      <c r="B284" s="70" t="s">
        <v>35</v>
      </c>
      <c r="C284" s="71" t="s">
        <v>375</v>
      </c>
      <c r="D284" s="36">
        <v>1</v>
      </c>
      <c r="E284" s="37">
        <f>1.06*388.64</f>
        <v>411.96</v>
      </c>
      <c r="F284" s="38">
        <f t="shared" si="63"/>
        <v>411.96</v>
      </c>
      <c r="G284" s="36">
        <v>1</v>
      </c>
      <c r="H284" s="91"/>
      <c r="I284" s="38">
        <f t="shared" si="64"/>
        <v>0</v>
      </c>
    </row>
    <row r="285" spans="1:9" x14ac:dyDescent="0.3">
      <c r="A285" s="69" t="s">
        <v>639</v>
      </c>
      <c r="B285" s="70" t="s">
        <v>35</v>
      </c>
      <c r="C285" s="71" t="s">
        <v>376</v>
      </c>
      <c r="D285" s="36">
        <v>1</v>
      </c>
      <c r="E285" s="37">
        <f>1.06*776.83</f>
        <v>823.44</v>
      </c>
      <c r="F285" s="38">
        <f t="shared" si="63"/>
        <v>823.44</v>
      </c>
      <c r="G285" s="36">
        <v>1</v>
      </c>
      <c r="H285" s="91"/>
      <c r="I285" s="38">
        <f t="shared" si="64"/>
        <v>0</v>
      </c>
    </row>
    <row r="286" spans="1:9" x14ac:dyDescent="0.3">
      <c r="A286" s="69" t="s">
        <v>640</v>
      </c>
      <c r="B286" s="70" t="s">
        <v>35</v>
      </c>
      <c r="C286" s="71" t="s">
        <v>377</v>
      </c>
      <c r="D286" s="36">
        <v>1</v>
      </c>
      <c r="E286" s="37">
        <f>1.06*1460.7</f>
        <v>1548.34</v>
      </c>
      <c r="F286" s="38">
        <f t="shared" si="63"/>
        <v>1548.34</v>
      </c>
      <c r="G286" s="36">
        <v>1</v>
      </c>
      <c r="H286" s="91"/>
      <c r="I286" s="38">
        <f t="shared" si="64"/>
        <v>0</v>
      </c>
    </row>
    <row r="287" spans="1:9" ht="20.399999999999999" x14ac:dyDescent="0.3">
      <c r="A287" s="69" t="s">
        <v>641</v>
      </c>
      <c r="B287" s="70" t="s">
        <v>35</v>
      </c>
      <c r="C287" s="71" t="s">
        <v>378</v>
      </c>
      <c r="D287" s="36">
        <v>1</v>
      </c>
      <c r="E287" s="37">
        <f>1.06*12460.13</f>
        <v>13207.74</v>
      </c>
      <c r="F287" s="38">
        <f t="shared" si="63"/>
        <v>13207.74</v>
      </c>
      <c r="G287" s="36">
        <v>1</v>
      </c>
      <c r="H287" s="91"/>
      <c r="I287" s="38">
        <f t="shared" si="64"/>
        <v>0</v>
      </c>
    </row>
    <row r="288" spans="1:9" ht="20.399999999999999" x14ac:dyDescent="0.3">
      <c r="A288" s="69" t="s">
        <v>642</v>
      </c>
      <c r="B288" s="70" t="s">
        <v>35</v>
      </c>
      <c r="C288" s="71" t="s">
        <v>379</v>
      </c>
      <c r="D288" s="36">
        <v>1</v>
      </c>
      <c r="E288" s="37">
        <f>1.06*2123.28</f>
        <v>2250.6799999999998</v>
      </c>
      <c r="F288" s="38">
        <f t="shared" si="63"/>
        <v>2250.6799999999998</v>
      </c>
      <c r="G288" s="36">
        <v>1</v>
      </c>
      <c r="H288" s="91"/>
      <c r="I288" s="38">
        <f t="shared" si="64"/>
        <v>0</v>
      </c>
    </row>
    <row r="289" spans="1:9" x14ac:dyDescent="0.3">
      <c r="A289" s="69" t="s">
        <v>643</v>
      </c>
      <c r="B289" s="70" t="s">
        <v>35</v>
      </c>
      <c r="C289" s="71" t="s">
        <v>380</v>
      </c>
      <c r="D289" s="36">
        <v>4</v>
      </c>
      <c r="E289" s="37">
        <f>1.06*690</f>
        <v>731.4</v>
      </c>
      <c r="F289" s="38">
        <f t="shared" si="63"/>
        <v>2925.6</v>
      </c>
      <c r="G289" s="36">
        <v>4</v>
      </c>
      <c r="H289" s="91"/>
      <c r="I289" s="38">
        <f t="shared" si="64"/>
        <v>0</v>
      </c>
    </row>
    <row r="290" spans="1:9" ht="20.399999999999999" x14ac:dyDescent="0.3">
      <c r="A290" s="69" t="s">
        <v>644</v>
      </c>
      <c r="B290" s="70" t="s">
        <v>35</v>
      </c>
      <c r="C290" s="71" t="s">
        <v>355</v>
      </c>
      <c r="D290" s="36">
        <v>1</v>
      </c>
      <c r="E290" s="37">
        <f>1.06*929.76</f>
        <v>985.55</v>
      </c>
      <c r="F290" s="38">
        <f t="shared" si="63"/>
        <v>985.55</v>
      </c>
      <c r="G290" s="36">
        <v>1</v>
      </c>
      <c r="H290" s="91"/>
      <c r="I290" s="38">
        <f t="shared" si="64"/>
        <v>0</v>
      </c>
    </row>
    <row r="291" spans="1:9" ht="30.6" x14ac:dyDescent="0.3">
      <c r="A291" s="69" t="s">
        <v>645</v>
      </c>
      <c r="B291" s="70" t="s">
        <v>35</v>
      </c>
      <c r="C291" s="71" t="s">
        <v>356</v>
      </c>
      <c r="D291" s="36">
        <v>1</v>
      </c>
      <c r="E291" s="37">
        <f>1.06*250</f>
        <v>265</v>
      </c>
      <c r="F291" s="38">
        <f t="shared" si="63"/>
        <v>265</v>
      </c>
      <c r="G291" s="36">
        <v>1</v>
      </c>
      <c r="H291" s="91"/>
      <c r="I291" s="38">
        <f t="shared" si="64"/>
        <v>0</v>
      </c>
    </row>
    <row r="292" spans="1:9" x14ac:dyDescent="0.3">
      <c r="A292" s="72"/>
      <c r="B292" s="73"/>
      <c r="C292" s="74" t="s">
        <v>381</v>
      </c>
      <c r="D292" s="36">
        <v>1</v>
      </c>
      <c r="E292" s="40">
        <f>SUM(F267:F291)</f>
        <v>35332.83</v>
      </c>
      <c r="F292" s="41">
        <f t="shared" si="63"/>
        <v>35332.83</v>
      </c>
      <c r="G292" s="36">
        <v>1</v>
      </c>
      <c r="H292" s="92">
        <f>SUM(I267:I291)</f>
        <v>0</v>
      </c>
      <c r="I292" s="41">
        <f t="shared" si="64"/>
        <v>0</v>
      </c>
    </row>
    <row r="293" spans="1:9" ht="1.05" customHeight="1" x14ac:dyDescent="0.3">
      <c r="A293" s="42"/>
      <c r="B293" s="43"/>
      <c r="C293" s="75"/>
      <c r="D293" s="42"/>
      <c r="E293" s="43"/>
      <c r="F293" s="44"/>
      <c r="G293" s="42"/>
      <c r="H293" s="91"/>
      <c r="I293" s="44"/>
    </row>
    <row r="294" spans="1:9" x14ac:dyDescent="0.3">
      <c r="A294" s="72"/>
      <c r="B294" s="73"/>
      <c r="C294" s="74" t="s">
        <v>382</v>
      </c>
      <c r="D294" s="36">
        <v>1</v>
      </c>
      <c r="E294" s="40">
        <f>F259+F266</f>
        <v>38819.730000000003</v>
      </c>
      <c r="F294" s="41">
        <f>ROUND(D294*E294,2)</f>
        <v>38819.730000000003</v>
      </c>
      <c r="G294" s="36">
        <v>1</v>
      </c>
      <c r="H294" s="92">
        <f>I259+I266</f>
        <v>0</v>
      </c>
      <c r="I294" s="41">
        <f>ROUND(G294*H294,2)</f>
        <v>0</v>
      </c>
    </row>
    <row r="295" spans="1:9" ht="1.05" customHeight="1" x14ac:dyDescent="0.3">
      <c r="A295" s="42"/>
      <c r="B295" s="43"/>
      <c r="C295" s="75"/>
      <c r="D295" s="42"/>
      <c r="E295" s="43"/>
      <c r="F295" s="44"/>
      <c r="G295" s="42"/>
      <c r="H295" s="91"/>
      <c r="I295" s="44"/>
    </row>
    <row r="296" spans="1:9" x14ac:dyDescent="0.3">
      <c r="A296" s="76" t="s">
        <v>383</v>
      </c>
      <c r="B296" s="77" t="s">
        <v>5</v>
      </c>
      <c r="C296" s="78" t="s">
        <v>384</v>
      </c>
      <c r="D296" s="45">
        <f t="shared" ref="D296:I296" si="65">D340</f>
        <v>1</v>
      </c>
      <c r="E296" s="46">
        <f t="shared" si="65"/>
        <v>49171.72</v>
      </c>
      <c r="F296" s="47">
        <f t="shared" si="65"/>
        <v>49171.72</v>
      </c>
      <c r="G296" s="45">
        <f t="shared" si="65"/>
        <v>1</v>
      </c>
      <c r="H296" s="94">
        <f t="shared" si="65"/>
        <v>0</v>
      </c>
      <c r="I296" s="47">
        <f t="shared" si="65"/>
        <v>0</v>
      </c>
    </row>
    <row r="297" spans="1:9" ht="20.399999999999999" x14ac:dyDescent="0.3">
      <c r="A297" s="79" t="s">
        <v>385</v>
      </c>
      <c r="B297" s="80" t="s">
        <v>5</v>
      </c>
      <c r="C297" s="81" t="s">
        <v>386</v>
      </c>
      <c r="D297" s="50">
        <f t="shared" ref="D297:I297" si="66">D303</f>
        <v>1</v>
      </c>
      <c r="E297" s="51">
        <f t="shared" si="66"/>
        <v>7109.79</v>
      </c>
      <c r="F297" s="52">
        <f t="shared" si="66"/>
        <v>7109.79</v>
      </c>
      <c r="G297" s="50">
        <f t="shared" si="66"/>
        <v>1</v>
      </c>
      <c r="H297" s="97">
        <f t="shared" si="66"/>
        <v>0</v>
      </c>
      <c r="I297" s="52">
        <f t="shared" si="66"/>
        <v>0</v>
      </c>
    </row>
    <row r="298" spans="1:9" ht="20.399999999999999" x14ac:dyDescent="0.3">
      <c r="A298" s="69" t="s">
        <v>387</v>
      </c>
      <c r="B298" s="70" t="s">
        <v>35</v>
      </c>
      <c r="C298" s="71" t="s">
        <v>388</v>
      </c>
      <c r="D298" s="36">
        <v>4</v>
      </c>
      <c r="E298" s="37">
        <f>1.06*564.17</f>
        <v>598.02</v>
      </c>
      <c r="F298" s="38">
        <f t="shared" ref="F298:F303" si="67">ROUND(D298*E298,2)</f>
        <v>2392.08</v>
      </c>
      <c r="G298" s="36">
        <v>4</v>
      </c>
      <c r="H298" s="91"/>
      <c r="I298" s="38">
        <f t="shared" ref="I298:I303" si="68">ROUND(G298*H298,2)</f>
        <v>0</v>
      </c>
    </row>
    <row r="299" spans="1:9" ht="20.399999999999999" x14ac:dyDescent="0.3">
      <c r="A299" s="69" t="s">
        <v>389</v>
      </c>
      <c r="B299" s="70" t="s">
        <v>35</v>
      </c>
      <c r="C299" s="71" t="s">
        <v>390</v>
      </c>
      <c r="D299" s="36">
        <v>4</v>
      </c>
      <c r="E299" s="37">
        <f>1.06*416.06</f>
        <v>441.02</v>
      </c>
      <c r="F299" s="38">
        <f t="shared" si="67"/>
        <v>1764.08</v>
      </c>
      <c r="G299" s="36">
        <v>4</v>
      </c>
      <c r="H299" s="91"/>
      <c r="I299" s="38">
        <f t="shared" si="68"/>
        <v>0</v>
      </c>
    </row>
    <row r="300" spans="1:9" ht="20.399999999999999" x14ac:dyDescent="0.3">
      <c r="A300" s="69" t="s">
        <v>391</v>
      </c>
      <c r="B300" s="70" t="s">
        <v>35</v>
      </c>
      <c r="C300" s="71" t="s">
        <v>392</v>
      </c>
      <c r="D300" s="36">
        <v>1</v>
      </c>
      <c r="E300" s="37">
        <f>1.06*1109.48</f>
        <v>1176.05</v>
      </c>
      <c r="F300" s="38">
        <f t="shared" si="67"/>
        <v>1176.05</v>
      </c>
      <c r="G300" s="36">
        <v>1</v>
      </c>
      <c r="H300" s="91"/>
      <c r="I300" s="38">
        <f t="shared" si="68"/>
        <v>0</v>
      </c>
    </row>
    <row r="301" spans="1:9" ht="30.6" x14ac:dyDescent="0.3">
      <c r="A301" s="69" t="s">
        <v>393</v>
      </c>
      <c r="B301" s="70" t="s">
        <v>35</v>
      </c>
      <c r="C301" s="71" t="s">
        <v>394</v>
      </c>
      <c r="D301" s="36">
        <v>2</v>
      </c>
      <c r="E301" s="37">
        <f>1.06*108.3</f>
        <v>114.8</v>
      </c>
      <c r="F301" s="38">
        <f t="shared" si="67"/>
        <v>229.6</v>
      </c>
      <c r="G301" s="36">
        <v>2</v>
      </c>
      <c r="H301" s="91"/>
      <c r="I301" s="38">
        <f t="shared" si="68"/>
        <v>0</v>
      </c>
    </row>
    <row r="302" spans="1:9" ht="20.399999999999999" x14ac:dyDescent="0.3">
      <c r="A302" s="69" t="s">
        <v>395</v>
      </c>
      <c r="B302" s="70" t="s">
        <v>35</v>
      </c>
      <c r="C302" s="71" t="s">
        <v>396</v>
      </c>
      <c r="D302" s="36">
        <v>2</v>
      </c>
      <c r="E302" s="37">
        <f>1.06*730.18</f>
        <v>773.99</v>
      </c>
      <c r="F302" s="38">
        <f t="shared" si="67"/>
        <v>1547.98</v>
      </c>
      <c r="G302" s="36">
        <v>2</v>
      </c>
      <c r="H302" s="91"/>
      <c r="I302" s="38">
        <f t="shared" si="68"/>
        <v>0</v>
      </c>
    </row>
    <row r="303" spans="1:9" x14ac:dyDescent="0.3">
      <c r="A303" s="72"/>
      <c r="B303" s="73"/>
      <c r="C303" s="74" t="s">
        <v>397</v>
      </c>
      <c r="D303" s="36">
        <v>1</v>
      </c>
      <c r="E303" s="40">
        <f>SUM(F298:F302)</f>
        <v>7109.79</v>
      </c>
      <c r="F303" s="41">
        <f t="shared" si="67"/>
        <v>7109.79</v>
      </c>
      <c r="G303" s="36">
        <v>1</v>
      </c>
      <c r="H303" s="92">
        <f>SUM(I298:I302)</f>
        <v>0</v>
      </c>
      <c r="I303" s="41">
        <f t="shared" si="68"/>
        <v>0</v>
      </c>
    </row>
    <row r="304" spans="1:9" ht="1.05" customHeight="1" x14ac:dyDescent="0.3">
      <c r="A304" s="42"/>
      <c r="B304" s="43"/>
      <c r="C304" s="75"/>
      <c r="D304" s="42"/>
      <c r="E304" s="43"/>
      <c r="F304" s="44"/>
      <c r="G304" s="42"/>
      <c r="H304" s="91"/>
      <c r="I304" s="44"/>
    </row>
    <row r="305" spans="1:9" ht="30.6" x14ac:dyDescent="0.3">
      <c r="A305" s="79" t="s">
        <v>398</v>
      </c>
      <c r="B305" s="80" t="s">
        <v>5</v>
      </c>
      <c r="C305" s="81" t="s">
        <v>399</v>
      </c>
      <c r="D305" s="50">
        <f t="shared" ref="D305:I305" si="69">D317</f>
        <v>1</v>
      </c>
      <c r="E305" s="51">
        <f t="shared" si="69"/>
        <v>16361.7</v>
      </c>
      <c r="F305" s="52">
        <f t="shared" si="69"/>
        <v>16361.7</v>
      </c>
      <c r="G305" s="50">
        <f t="shared" si="69"/>
        <v>1</v>
      </c>
      <c r="H305" s="97">
        <f t="shared" si="69"/>
        <v>0</v>
      </c>
      <c r="I305" s="52">
        <f t="shared" si="69"/>
        <v>0</v>
      </c>
    </row>
    <row r="306" spans="1:9" ht="20.399999999999999" x14ac:dyDescent="0.3">
      <c r="A306" s="69" t="s">
        <v>400</v>
      </c>
      <c r="B306" s="70" t="s">
        <v>35</v>
      </c>
      <c r="C306" s="71" t="s">
        <v>401</v>
      </c>
      <c r="D306" s="36">
        <v>10</v>
      </c>
      <c r="E306" s="37">
        <f>1.06*397.48</f>
        <v>421.33</v>
      </c>
      <c r="F306" s="38">
        <f t="shared" ref="F306:F317" si="70">ROUND(D306*E306,2)</f>
        <v>4213.3</v>
      </c>
      <c r="G306" s="36">
        <v>10</v>
      </c>
      <c r="H306" s="91"/>
      <c r="I306" s="38">
        <f t="shared" ref="I306:I317" si="71">ROUND(G306*H306,2)</f>
        <v>0</v>
      </c>
    </row>
    <row r="307" spans="1:9" ht="20.399999999999999" x14ac:dyDescent="0.3">
      <c r="A307" s="69" t="s">
        <v>402</v>
      </c>
      <c r="B307" s="70" t="s">
        <v>35</v>
      </c>
      <c r="C307" s="71" t="s">
        <v>403</v>
      </c>
      <c r="D307" s="36">
        <v>3</v>
      </c>
      <c r="E307" s="37">
        <f>1.06*588.8</f>
        <v>624.13</v>
      </c>
      <c r="F307" s="38">
        <f t="shared" si="70"/>
        <v>1872.39</v>
      </c>
      <c r="G307" s="36">
        <v>3</v>
      </c>
      <c r="H307" s="91"/>
      <c r="I307" s="38">
        <f t="shared" si="71"/>
        <v>0</v>
      </c>
    </row>
    <row r="308" spans="1:9" ht="20.399999999999999" x14ac:dyDescent="0.3">
      <c r="A308" s="69" t="s">
        <v>404</v>
      </c>
      <c r="B308" s="70" t="s">
        <v>405</v>
      </c>
      <c r="C308" s="71" t="s">
        <v>406</v>
      </c>
      <c r="D308" s="36">
        <v>3</v>
      </c>
      <c r="E308" s="37">
        <f>1.06*353.28</f>
        <v>374.48</v>
      </c>
      <c r="F308" s="38">
        <f t="shared" si="70"/>
        <v>1123.44</v>
      </c>
      <c r="G308" s="36">
        <v>3</v>
      </c>
      <c r="H308" s="91"/>
      <c r="I308" s="38">
        <f t="shared" si="71"/>
        <v>0</v>
      </c>
    </row>
    <row r="309" spans="1:9" ht="20.399999999999999" x14ac:dyDescent="0.3">
      <c r="A309" s="69" t="s">
        <v>407</v>
      </c>
      <c r="B309" s="70" t="s">
        <v>405</v>
      </c>
      <c r="C309" s="71" t="s">
        <v>408</v>
      </c>
      <c r="D309" s="36">
        <v>3</v>
      </c>
      <c r="E309" s="37">
        <f>1.06*570.08</f>
        <v>604.28</v>
      </c>
      <c r="F309" s="38">
        <f t="shared" si="70"/>
        <v>1812.84</v>
      </c>
      <c r="G309" s="36">
        <v>3</v>
      </c>
      <c r="H309" s="91"/>
      <c r="I309" s="38">
        <f t="shared" si="71"/>
        <v>0</v>
      </c>
    </row>
    <row r="310" spans="1:9" ht="20.399999999999999" x14ac:dyDescent="0.3">
      <c r="A310" s="69" t="s">
        <v>409</v>
      </c>
      <c r="B310" s="70" t="s">
        <v>35</v>
      </c>
      <c r="C310" s="71" t="s">
        <v>410</v>
      </c>
      <c r="D310" s="36">
        <v>2</v>
      </c>
      <c r="E310" s="37">
        <f>1.06*385.38</f>
        <v>408.5</v>
      </c>
      <c r="F310" s="38">
        <f t="shared" si="70"/>
        <v>817</v>
      </c>
      <c r="G310" s="36">
        <v>2</v>
      </c>
      <c r="H310" s="91"/>
      <c r="I310" s="38">
        <f t="shared" si="71"/>
        <v>0</v>
      </c>
    </row>
    <row r="311" spans="1:9" ht="20.399999999999999" x14ac:dyDescent="0.3">
      <c r="A311" s="69" t="s">
        <v>411</v>
      </c>
      <c r="B311" s="70" t="s">
        <v>35</v>
      </c>
      <c r="C311" s="71" t="s">
        <v>412</v>
      </c>
      <c r="D311" s="36">
        <v>2</v>
      </c>
      <c r="E311" s="37">
        <f>1.06*439.61</f>
        <v>465.99</v>
      </c>
      <c r="F311" s="38">
        <f t="shared" si="70"/>
        <v>931.98</v>
      </c>
      <c r="G311" s="36">
        <v>2</v>
      </c>
      <c r="H311" s="91"/>
      <c r="I311" s="38">
        <f t="shared" si="71"/>
        <v>0</v>
      </c>
    </row>
    <row r="312" spans="1:9" ht="30.6" x14ac:dyDescent="0.3">
      <c r="A312" s="69" t="s">
        <v>413</v>
      </c>
      <c r="B312" s="70" t="s">
        <v>405</v>
      </c>
      <c r="C312" s="71" t="s">
        <v>414</v>
      </c>
      <c r="D312" s="36">
        <v>0.04</v>
      </c>
      <c r="E312" s="37">
        <f>1.06*10413.29</f>
        <v>11038.09</v>
      </c>
      <c r="F312" s="38">
        <f t="shared" si="70"/>
        <v>441.52</v>
      </c>
      <c r="G312" s="36">
        <v>0.04</v>
      </c>
      <c r="H312" s="91"/>
      <c r="I312" s="38">
        <f t="shared" si="71"/>
        <v>0</v>
      </c>
    </row>
    <row r="313" spans="1:9" ht="30.6" x14ac:dyDescent="0.3">
      <c r="A313" s="69" t="s">
        <v>415</v>
      </c>
      <c r="B313" s="70" t="s">
        <v>35</v>
      </c>
      <c r="C313" s="71" t="s">
        <v>416</v>
      </c>
      <c r="D313" s="36">
        <v>2</v>
      </c>
      <c r="E313" s="37">
        <f>1.06*1102.8</f>
        <v>1168.97</v>
      </c>
      <c r="F313" s="38">
        <f t="shared" si="70"/>
        <v>2337.94</v>
      </c>
      <c r="G313" s="36">
        <v>2</v>
      </c>
      <c r="H313" s="91"/>
      <c r="I313" s="38">
        <f t="shared" si="71"/>
        <v>0</v>
      </c>
    </row>
    <row r="314" spans="1:9" ht="20.399999999999999" x14ac:dyDescent="0.3">
      <c r="A314" s="69" t="s">
        <v>417</v>
      </c>
      <c r="B314" s="70" t="s">
        <v>35</v>
      </c>
      <c r="C314" s="71" t="s">
        <v>418</v>
      </c>
      <c r="D314" s="36">
        <v>2</v>
      </c>
      <c r="E314" s="37">
        <f>1.06*554.74</f>
        <v>588.02</v>
      </c>
      <c r="F314" s="38">
        <f t="shared" si="70"/>
        <v>1176.04</v>
      </c>
      <c r="G314" s="36">
        <v>2</v>
      </c>
      <c r="H314" s="91"/>
      <c r="I314" s="38">
        <f t="shared" si="71"/>
        <v>0</v>
      </c>
    </row>
    <row r="315" spans="1:9" ht="20.399999999999999" x14ac:dyDescent="0.3">
      <c r="A315" s="69" t="s">
        <v>419</v>
      </c>
      <c r="B315" s="70" t="s">
        <v>35</v>
      </c>
      <c r="C315" s="71" t="s">
        <v>420</v>
      </c>
      <c r="D315" s="36">
        <v>1</v>
      </c>
      <c r="E315" s="37">
        <f>1.06*1109.48</f>
        <v>1176.05</v>
      </c>
      <c r="F315" s="38">
        <f t="shared" si="70"/>
        <v>1176.05</v>
      </c>
      <c r="G315" s="36">
        <v>1</v>
      </c>
      <c r="H315" s="91"/>
      <c r="I315" s="38">
        <f t="shared" si="71"/>
        <v>0</v>
      </c>
    </row>
    <row r="316" spans="1:9" ht="20.399999999999999" x14ac:dyDescent="0.3">
      <c r="A316" s="69" t="s">
        <v>421</v>
      </c>
      <c r="B316" s="70" t="s">
        <v>35</v>
      </c>
      <c r="C316" s="71" t="s">
        <v>422</v>
      </c>
      <c r="D316" s="36">
        <v>2</v>
      </c>
      <c r="E316" s="37">
        <f>1.06*216.6</f>
        <v>229.6</v>
      </c>
      <c r="F316" s="38">
        <f t="shared" si="70"/>
        <v>459.2</v>
      </c>
      <c r="G316" s="36">
        <v>2</v>
      </c>
      <c r="H316" s="91"/>
      <c r="I316" s="38">
        <f t="shared" si="71"/>
        <v>0</v>
      </c>
    </row>
    <row r="317" spans="1:9" x14ac:dyDescent="0.3">
      <c r="A317" s="72"/>
      <c r="B317" s="73"/>
      <c r="C317" s="74" t="s">
        <v>423</v>
      </c>
      <c r="D317" s="36">
        <v>1</v>
      </c>
      <c r="E317" s="40">
        <f>SUM(F306:F316)</f>
        <v>16361.7</v>
      </c>
      <c r="F317" s="41">
        <f t="shared" si="70"/>
        <v>16361.7</v>
      </c>
      <c r="G317" s="36">
        <v>1</v>
      </c>
      <c r="H317" s="92">
        <f>SUM(I306:I316)</f>
        <v>0</v>
      </c>
      <c r="I317" s="41">
        <f t="shared" si="71"/>
        <v>0</v>
      </c>
    </row>
    <row r="318" spans="1:9" ht="1.05" customHeight="1" x14ac:dyDescent="0.3">
      <c r="A318" s="42"/>
      <c r="B318" s="43"/>
      <c r="C318" s="75"/>
      <c r="D318" s="42"/>
      <c r="E318" s="43"/>
      <c r="F318" s="44"/>
      <c r="G318" s="42"/>
      <c r="H318" s="91"/>
      <c r="I318" s="44"/>
    </row>
    <row r="319" spans="1:9" ht="20.399999999999999" x14ac:dyDescent="0.3">
      <c r="A319" s="79" t="s">
        <v>424</v>
      </c>
      <c r="B319" s="80" t="s">
        <v>5</v>
      </c>
      <c r="C319" s="81" t="s">
        <v>425</v>
      </c>
      <c r="D319" s="50">
        <f t="shared" ref="D319:I319" si="72">D325</f>
        <v>1</v>
      </c>
      <c r="E319" s="51">
        <f t="shared" si="72"/>
        <v>5031.71</v>
      </c>
      <c r="F319" s="52">
        <f t="shared" si="72"/>
        <v>5031.71</v>
      </c>
      <c r="G319" s="50">
        <f t="shared" si="72"/>
        <v>1</v>
      </c>
      <c r="H319" s="97">
        <f t="shared" si="72"/>
        <v>0</v>
      </c>
      <c r="I319" s="52">
        <f t="shared" si="72"/>
        <v>0</v>
      </c>
    </row>
    <row r="320" spans="1:9" ht="20.399999999999999" x14ac:dyDescent="0.3">
      <c r="A320" s="69" t="s">
        <v>387</v>
      </c>
      <c r="B320" s="70" t="s">
        <v>35</v>
      </c>
      <c r="C320" s="71" t="s">
        <v>388</v>
      </c>
      <c r="D320" s="36">
        <v>2</v>
      </c>
      <c r="E320" s="37">
        <f>1.06*564.17</f>
        <v>598.02</v>
      </c>
      <c r="F320" s="38">
        <f t="shared" ref="F320:F325" si="73">ROUND(D320*E320,2)</f>
        <v>1196.04</v>
      </c>
      <c r="G320" s="36">
        <v>2</v>
      </c>
      <c r="H320" s="91"/>
      <c r="I320" s="38">
        <f t="shared" ref="I320:I325" si="74">ROUND(G320*H320,2)</f>
        <v>0</v>
      </c>
    </row>
    <row r="321" spans="1:9" ht="20.399999999999999" x14ac:dyDescent="0.3">
      <c r="A321" s="69" t="s">
        <v>389</v>
      </c>
      <c r="B321" s="70" t="s">
        <v>35</v>
      </c>
      <c r="C321" s="71" t="s">
        <v>390</v>
      </c>
      <c r="D321" s="36">
        <v>2</v>
      </c>
      <c r="E321" s="37">
        <f>1.06*416.06</f>
        <v>441.02</v>
      </c>
      <c r="F321" s="38">
        <f t="shared" si="73"/>
        <v>882.04</v>
      </c>
      <c r="G321" s="36">
        <v>2</v>
      </c>
      <c r="H321" s="91"/>
      <c r="I321" s="38">
        <f t="shared" si="74"/>
        <v>0</v>
      </c>
    </row>
    <row r="322" spans="1:9" ht="20.399999999999999" x14ac:dyDescent="0.3">
      <c r="A322" s="69" t="s">
        <v>391</v>
      </c>
      <c r="B322" s="70" t="s">
        <v>35</v>
      </c>
      <c r="C322" s="71" t="s">
        <v>392</v>
      </c>
      <c r="D322" s="36">
        <v>1</v>
      </c>
      <c r="E322" s="37">
        <f>1.06*1109.48</f>
        <v>1176.05</v>
      </c>
      <c r="F322" s="38">
        <f t="shared" si="73"/>
        <v>1176.05</v>
      </c>
      <c r="G322" s="36">
        <v>1</v>
      </c>
      <c r="H322" s="91"/>
      <c r="I322" s="38">
        <f t="shared" si="74"/>
        <v>0</v>
      </c>
    </row>
    <row r="323" spans="1:9" ht="30.6" x14ac:dyDescent="0.3">
      <c r="A323" s="69" t="s">
        <v>393</v>
      </c>
      <c r="B323" s="70" t="s">
        <v>35</v>
      </c>
      <c r="C323" s="71" t="s">
        <v>394</v>
      </c>
      <c r="D323" s="36">
        <v>2</v>
      </c>
      <c r="E323" s="37">
        <f>1.06*108.3</f>
        <v>114.8</v>
      </c>
      <c r="F323" s="38">
        <f t="shared" si="73"/>
        <v>229.6</v>
      </c>
      <c r="G323" s="36">
        <v>2</v>
      </c>
      <c r="H323" s="91"/>
      <c r="I323" s="38">
        <f t="shared" si="74"/>
        <v>0</v>
      </c>
    </row>
    <row r="324" spans="1:9" ht="20.399999999999999" x14ac:dyDescent="0.3">
      <c r="A324" s="69" t="s">
        <v>395</v>
      </c>
      <c r="B324" s="70" t="s">
        <v>35</v>
      </c>
      <c r="C324" s="71" t="s">
        <v>396</v>
      </c>
      <c r="D324" s="36">
        <v>2</v>
      </c>
      <c r="E324" s="37">
        <f>1.06*730.18</f>
        <v>773.99</v>
      </c>
      <c r="F324" s="38">
        <f t="shared" si="73"/>
        <v>1547.98</v>
      </c>
      <c r="G324" s="36">
        <v>2</v>
      </c>
      <c r="H324" s="91"/>
      <c r="I324" s="38">
        <f t="shared" si="74"/>
        <v>0</v>
      </c>
    </row>
    <row r="325" spans="1:9" x14ac:dyDescent="0.3">
      <c r="A325" s="72"/>
      <c r="B325" s="73"/>
      <c r="C325" s="74" t="s">
        <v>426</v>
      </c>
      <c r="D325" s="36">
        <v>1</v>
      </c>
      <c r="E325" s="40">
        <f>SUM(F320:F324)</f>
        <v>5031.71</v>
      </c>
      <c r="F325" s="41">
        <f t="shared" si="73"/>
        <v>5031.71</v>
      </c>
      <c r="G325" s="36">
        <v>1</v>
      </c>
      <c r="H325" s="92">
        <f>SUM(I320:I324)</f>
        <v>0</v>
      </c>
      <c r="I325" s="41">
        <f t="shared" si="74"/>
        <v>0</v>
      </c>
    </row>
    <row r="326" spans="1:9" ht="1.05" customHeight="1" x14ac:dyDescent="0.3">
      <c r="A326" s="42"/>
      <c r="B326" s="43"/>
      <c r="C326" s="75"/>
      <c r="D326" s="42"/>
      <c r="E326" s="43"/>
      <c r="F326" s="44"/>
      <c r="G326" s="42"/>
      <c r="H326" s="91"/>
      <c r="I326" s="44"/>
    </row>
    <row r="327" spans="1:9" ht="20.399999999999999" x14ac:dyDescent="0.3">
      <c r="A327" s="79" t="s">
        <v>427</v>
      </c>
      <c r="B327" s="80" t="s">
        <v>5</v>
      </c>
      <c r="C327" s="81" t="s">
        <v>428</v>
      </c>
      <c r="D327" s="50">
        <f t="shared" ref="D327:I327" si="75">D338</f>
        <v>1</v>
      </c>
      <c r="E327" s="51">
        <f t="shared" si="75"/>
        <v>20668.52</v>
      </c>
      <c r="F327" s="52">
        <f t="shared" si="75"/>
        <v>20668.52</v>
      </c>
      <c r="G327" s="50">
        <f t="shared" si="75"/>
        <v>1</v>
      </c>
      <c r="H327" s="97">
        <f t="shared" si="75"/>
        <v>0</v>
      </c>
      <c r="I327" s="52">
        <f t="shared" si="75"/>
        <v>0</v>
      </c>
    </row>
    <row r="328" spans="1:9" ht="20.399999999999999" x14ac:dyDescent="0.3">
      <c r="A328" s="69" t="s">
        <v>402</v>
      </c>
      <c r="B328" s="70" t="s">
        <v>35</v>
      </c>
      <c r="C328" s="71" t="s">
        <v>403</v>
      </c>
      <c r="D328" s="36">
        <v>6</v>
      </c>
      <c r="E328" s="37">
        <f>1.06*588.8</f>
        <v>624.13</v>
      </c>
      <c r="F328" s="38">
        <f t="shared" ref="F328:F338" si="76">ROUND(D328*E328,2)</f>
        <v>3744.78</v>
      </c>
      <c r="G328" s="36">
        <v>6</v>
      </c>
      <c r="H328" s="91"/>
      <c r="I328" s="38">
        <f t="shared" ref="I328:I338" si="77">ROUND(G328*H328,2)</f>
        <v>0</v>
      </c>
    </row>
    <row r="329" spans="1:9" ht="20.399999999999999" x14ac:dyDescent="0.3">
      <c r="A329" s="69" t="s">
        <v>404</v>
      </c>
      <c r="B329" s="70" t="s">
        <v>405</v>
      </c>
      <c r="C329" s="71" t="s">
        <v>406</v>
      </c>
      <c r="D329" s="36">
        <v>6</v>
      </c>
      <c r="E329" s="37">
        <f>1.06*353.28</f>
        <v>374.48</v>
      </c>
      <c r="F329" s="38">
        <f t="shared" si="76"/>
        <v>2246.88</v>
      </c>
      <c r="G329" s="36">
        <v>6</v>
      </c>
      <c r="H329" s="91"/>
      <c r="I329" s="38">
        <f t="shared" si="77"/>
        <v>0</v>
      </c>
    </row>
    <row r="330" spans="1:9" ht="20.399999999999999" x14ac:dyDescent="0.3">
      <c r="A330" s="69" t="s">
        <v>411</v>
      </c>
      <c r="B330" s="70" t="s">
        <v>35</v>
      </c>
      <c r="C330" s="71" t="s">
        <v>412</v>
      </c>
      <c r="D330" s="36">
        <v>4</v>
      </c>
      <c r="E330" s="37">
        <f>1.06*439.61</f>
        <v>465.99</v>
      </c>
      <c r="F330" s="38">
        <f t="shared" si="76"/>
        <v>1863.96</v>
      </c>
      <c r="G330" s="36">
        <v>4</v>
      </c>
      <c r="H330" s="91"/>
      <c r="I330" s="38">
        <f t="shared" si="77"/>
        <v>0</v>
      </c>
    </row>
    <row r="331" spans="1:9" ht="30.6" x14ac:dyDescent="0.3">
      <c r="A331" s="69" t="s">
        <v>413</v>
      </c>
      <c r="B331" s="70" t="s">
        <v>405</v>
      </c>
      <c r="C331" s="71" t="s">
        <v>414</v>
      </c>
      <c r="D331" s="36">
        <v>0.08</v>
      </c>
      <c r="E331" s="37">
        <f>1.06*10413.29</f>
        <v>11038.09</v>
      </c>
      <c r="F331" s="38">
        <f t="shared" si="76"/>
        <v>883.05</v>
      </c>
      <c r="G331" s="36">
        <v>0.08</v>
      </c>
      <c r="H331" s="91"/>
      <c r="I331" s="38">
        <f t="shared" si="77"/>
        <v>0</v>
      </c>
    </row>
    <row r="332" spans="1:9" ht="30.6" x14ac:dyDescent="0.3">
      <c r="A332" s="69" t="s">
        <v>415</v>
      </c>
      <c r="B332" s="70" t="s">
        <v>35</v>
      </c>
      <c r="C332" s="71" t="s">
        <v>416</v>
      </c>
      <c r="D332" s="36">
        <v>4</v>
      </c>
      <c r="E332" s="37">
        <f>1.06*1102.8</f>
        <v>1168.97</v>
      </c>
      <c r="F332" s="38">
        <f t="shared" si="76"/>
        <v>4675.88</v>
      </c>
      <c r="G332" s="36">
        <v>4</v>
      </c>
      <c r="H332" s="91"/>
      <c r="I332" s="38">
        <f t="shared" si="77"/>
        <v>0</v>
      </c>
    </row>
    <row r="333" spans="1:9" ht="20.399999999999999" x14ac:dyDescent="0.3">
      <c r="A333" s="69" t="s">
        <v>417</v>
      </c>
      <c r="B333" s="70" t="s">
        <v>35</v>
      </c>
      <c r="C333" s="71" t="s">
        <v>418</v>
      </c>
      <c r="D333" s="36">
        <v>2</v>
      </c>
      <c r="E333" s="37">
        <f>1.06*554.74</f>
        <v>588.02</v>
      </c>
      <c r="F333" s="38">
        <f t="shared" si="76"/>
        <v>1176.04</v>
      </c>
      <c r="G333" s="36">
        <v>2</v>
      </c>
      <c r="H333" s="91"/>
      <c r="I333" s="38">
        <f t="shared" si="77"/>
        <v>0</v>
      </c>
    </row>
    <row r="334" spans="1:9" ht="20.399999999999999" x14ac:dyDescent="0.3">
      <c r="A334" s="69" t="s">
        <v>421</v>
      </c>
      <c r="B334" s="70" t="s">
        <v>35</v>
      </c>
      <c r="C334" s="71" t="s">
        <v>422</v>
      </c>
      <c r="D334" s="36">
        <v>2</v>
      </c>
      <c r="E334" s="37">
        <f>1.06*216.6</f>
        <v>229.6</v>
      </c>
      <c r="F334" s="38">
        <f t="shared" si="76"/>
        <v>459.2</v>
      </c>
      <c r="G334" s="36">
        <v>2</v>
      </c>
      <c r="H334" s="91"/>
      <c r="I334" s="38">
        <f t="shared" si="77"/>
        <v>0</v>
      </c>
    </row>
    <row r="335" spans="1:9" ht="20.399999999999999" x14ac:dyDescent="0.3">
      <c r="A335" s="69" t="s">
        <v>419</v>
      </c>
      <c r="B335" s="70" t="s">
        <v>35</v>
      </c>
      <c r="C335" s="71" t="s">
        <v>420</v>
      </c>
      <c r="D335" s="36">
        <v>1</v>
      </c>
      <c r="E335" s="37">
        <f>1.06*1109.48</f>
        <v>1176.05</v>
      </c>
      <c r="F335" s="38">
        <f t="shared" si="76"/>
        <v>1176.05</v>
      </c>
      <c r="G335" s="36">
        <v>1</v>
      </c>
      <c r="H335" s="91"/>
      <c r="I335" s="38">
        <f t="shared" si="77"/>
        <v>0</v>
      </c>
    </row>
    <row r="336" spans="1:9" ht="20.399999999999999" x14ac:dyDescent="0.3">
      <c r="A336" s="69" t="s">
        <v>407</v>
      </c>
      <c r="B336" s="70" t="s">
        <v>405</v>
      </c>
      <c r="C336" s="71" t="s">
        <v>408</v>
      </c>
      <c r="D336" s="36">
        <v>6</v>
      </c>
      <c r="E336" s="37">
        <f>1.06*570.08</f>
        <v>604.28</v>
      </c>
      <c r="F336" s="38">
        <f t="shared" si="76"/>
        <v>3625.68</v>
      </c>
      <c r="G336" s="36">
        <v>6</v>
      </c>
      <c r="H336" s="91"/>
      <c r="I336" s="38">
        <f t="shared" si="77"/>
        <v>0</v>
      </c>
    </row>
    <row r="337" spans="1:9" ht="20.399999999999999" x14ac:dyDescent="0.3">
      <c r="A337" s="69" t="s">
        <v>409</v>
      </c>
      <c r="B337" s="70" t="s">
        <v>35</v>
      </c>
      <c r="C337" s="71" t="s">
        <v>410</v>
      </c>
      <c r="D337" s="36">
        <v>2</v>
      </c>
      <c r="E337" s="37">
        <f>1.06*385.38</f>
        <v>408.5</v>
      </c>
      <c r="F337" s="38">
        <f t="shared" si="76"/>
        <v>817</v>
      </c>
      <c r="G337" s="36">
        <v>2</v>
      </c>
      <c r="H337" s="91"/>
      <c r="I337" s="38">
        <f t="shared" si="77"/>
        <v>0</v>
      </c>
    </row>
    <row r="338" spans="1:9" x14ac:dyDescent="0.3">
      <c r="A338" s="72"/>
      <c r="B338" s="73"/>
      <c r="C338" s="74" t="s">
        <v>429</v>
      </c>
      <c r="D338" s="36">
        <v>1</v>
      </c>
      <c r="E338" s="40">
        <f>SUM(F328:F337)</f>
        <v>20668.52</v>
      </c>
      <c r="F338" s="41">
        <f t="shared" si="76"/>
        <v>20668.52</v>
      </c>
      <c r="G338" s="36">
        <v>1</v>
      </c>
      <c r="H338" s="92">
        <f>SUM(I328:I337)</f>
        <v>0</v>
      </c>
      <c r="I338" s="41">
        <f t="shared" si="77"/>
        <v>0</v>
      </c>
    </row>
    <row r="339" spans="1:9" ht="1.05" customHeight="1" x14ac:dyDescent="0.3">
      <c r="A339" s="42"/>
      <c r="B339" s="43"/>
      <c r="C339" s="75"/>
      <c r="D339" s="42"/>
      <c r="E339" s="43"/>
      <c r="F339" s="44"/>
      <c r="G339" s="42"/>
      <c r="H339" s="91"/>
      <c r="I339" s="44"/>
    </row>
    <row r="340" spans="1:9" x14ac:dyDescent="0.3">
      <c r="A340" s="72"/>
      <c r="B340" s="73"/>
      <c r="C340" s="74" t="s">
        <v>430</v>
      </c>
      <c r="D340" s="36">
        <v>1</v>
      </c>
      <c r="E340" s="40">
        <f>F297+F305+F319+F327</f>
        <v>49171.72</v>
      </c>
      <c r="F340" s="41">
        <f>ROUND(D340*E340,2)</f>
        <v>49171.72</v>
      </c>
      <c r="G340" s="36">
        <v>1</v>
      </c>
      <c r="H340" s="92">
        <f>I297+I305+I319+I327</f>
        <v>0</v>
      </c>
      <c r="I340" s="41">
        <f>ROUND(G340*H340,2)</f>
        <v>0</v>
      </c>
    </row>
    <row r="341" spans="1:9" ht="1.05" customHeight="1" x14ac:dyDescent="0.3">
      <c r="A341" s="42"/>
      <c r="B341" s="43"/>
      <c r="C341" s="75"/>
      <c r="D341" s="42"/>
      <c r="E341" s="43"/>
      <c r="F341" s="44"/>
      <c r="G341" s="42"/>
      <c r="H341" s="91"/>
      <c r="I341" s="44"/>
    </row>
    <row r="342" spans="1:9" x14ac:dyDescent="0.3">
      <c r="A342" s="76" t="s">
        <v>431</v>
      </c>
      <c r="B342" s="77" t="s">
        <v>5</v>
      </c>
      <c r="C342" s="78" t="s">
        <v>432</v>
      </c>
      <c r="D342" s="45">
        <f t="shared" ref="D342:I342" si="78">D431</f>
        <v>1</v>
      </c>
      <c r="E342" s="46">
        <f t="shared" si="78"/>
        <v>68480.86</v>
      </c>
      <c r="F342" s="47">
        <f t="shared" si="78"/>
        <v>68480.86</v>
      </c>
      <c r="G342" s="45">
        <f t="shared" si="78"/>
        <v>1</v>
      </c>
      <c r="H342" s="94">
        <f t="shared" si="78"/>
        <v>0</v>
      </c>
      <c r="I342" s="47">
        <f t="shared" si="78"/>
        <v>0</v>
      </c>
    </row>
    <row r="343" spans="1:9" x14ac:dyDescent="0.3">
      <c r="A343" s="79" t="s">
        <v>433</v>
      </c>
      <c r="B343" s="80" t="s">
        <v>5</v>
      </c>
      <c r="C343" s="81" t="s">
        <v>434</v>
      </c>
      <c r="D343" s="50">
        <f t="shared" ref="D343:I343" si="79">D374</f>
        <v>1</v>
      </c>
      <c r="E343" s="51">
        <f t="shared" si="79"/>
        <v>27373.73</v>
      </c>
      <c r="F343" s="52">
        <f t="shared" si="79"/>
        <v>27373.73</v>
      </c>
      <c r="G343" s="50">
        <f t="shared" si="79"/>
        <v>1</v>
      </c>
      <c r="H343" s="97">
        <f t="shared" si="79"/>
        <v>0</v>
      </c>
      <c r="I343" s="52">
        <f t="shared" si="79"/>
        <v>0</v>
      </c>
    </row>
    <row r="344" spans="1:9" x14ac:dyDescent="0.3">
      <c r="A344" s="82" t="s">
        <v>435</v>
      </c>
      <c r="B344" s="83" t="s">
        <v>5</v>
      </c>
      <c r="C344" s="84" t="s">
        <v>436</v>
      </c>
      <c r="D344" s="54">
        <f t="shared" ref="D344:I344" si="80">D347</f>
        <v>1</v>
      </c>
      <c r="E344" s="55">
        <f t="shared" si="80"/>
        <v>5882.02</v>
      </c>
      <c r="F344" s="56">
        <f t="shared" si="80"/>
        <v>5882.02</v>
      </c>
      <c r="G344" s="54">
        <f t="shared" si="80"/>
        <v>1</v>
      </c>
      <c r="H344" s="98">
        <f t="shared" si="80"/>
        <v>0</v>
      </c>
      <c r="I344" s="56">
        <f t="shared" si="80"/>
        <v>0</v>
      </c>
    </row>
    <row r="345" spans="1:9" x14ac:dyDescent="0.3">
      <c r="A345" s="69" t="s">
        <v>437</v>
      </c>
      <c r="B345" s="70" t="s">
        <v>11</v>
      </c>
      <c r="C345" s="71" t="s">
        <v>438</v>
      </c>
      <c r="D345" s="36">
        <v>336</v>
      </c>
      <c r="E345" s="37">
        <f>1.06*16.29</f>
        <v>17.27</v>
      </c>
      <c r="F345" s="38">
        <f>ROUND(D345*E345,2)</f>
        <v>5802.72</v>
      </c>
      <c r="G345" s="36">
        <v>336</v>
      </c>
      <c r="H345" s="91"/>
      <c r="I345" s="38">
        <f>ROUND(G345*H345,2)</f>
        <v>0</v>
      </c>
    </row>
    <row r="346" spans="1:9" x14ac:dyDescent="0.3">
      <c r="A346" s="69" t="s">
        <v>439</v>
      </c>
      <c r="B346" s="70" t="s">
        <v>8</v>
      </c>
      <c r="C346" s="71" t="s">
        <v>440</v>
      </c>
      <c r="D346" s="36">
        <v>10</v>
      </c>
      <c r="E346" s="37">
        <f>1.06*7.48</f>
        <v>7.93</v>
      </c>
      <c r="F346" s="38">
        <f>ROUND(D346*E346,2)</f>
        <v>79.3</v>
      </c>
      <c r="G346" s="36">
        <v>10</v>
      </c>
      <c r="H346" s="91"/>
      <c r="I346" s="38">
        <f>ROUND(G346*H346,2)</f>
        <v>0</v>
      </c>
    </row>
    <row r="347" spans="1:9" x14ac:dyDescent="0.3">
      <c r="A347" s="72"/>
      <c r="B347" s="73"/>
      <c r="C347" s="74" t="s">
        <v>441</v>
      </c>
      <c r="D347" s="36">
        <v>1</v>
      </c>
      <c r="E347" s="40">
        <f>SUM(F345:F346)</f>
        <v>5882.02</v>
      </c>
      <c r="F347" s="41">
        <f>ROUND(D347*E347,2)</f>
        <v>5882.02</v>
      </c>
      <c r="G347" s="36">
        <v>1</v>
      </c>
      <c r="H347" s="92">
        <f>SUM(I345:I346)</f>
        <v>0</v>
      </c>
      <c r="I347" s="41">
        <f>ROUND(G347*H347,2)</f>
        <v>0</v>
      </c>
    </row>
    <row r="348" spans="1:9" ht="1.05" customHeight="1" x14ac:dyDescent="0.3">
      <c r="A348" s="42"/>
      <c r="B348" s="43"/>
      <c r="C348" s="75"/>
      <c r="D348" s="42"/>
      <c r="E348" s="43"/>
      <c r="F348" s="44"/>
      <c r="G348" s="42"/>
      <c r="H348" s="91"/>
      <c r="I348" s="44"/>
    </row>
    <row r="349" spans="1:9" x14ac:dyDescent="0.3">
      <c r="A349" s="82" t="s">
        <v>442</v>
      </c>
      <c r="B349" s="83" t="s">
        <v>5</v>
      </c>
      <c r="C349" s="84" t="s">
        <v>443</v>
      </c>
      <c r="D349" s="54">
        <f t="shared" ref="D349:I349" si="81">D353</f>
        <v>1</v>
      </c>
      <c r="E349" s="55">
        <f t="shared" si="81"/>
        <v>2551.92</v>
      </c>
      <c r="F349" s="56">
        <f t="shared" si="81"/>
        <v>2551.92</v>
      </c>
      <c r="G349" s="54">
        <f t="shared" si="81"/>
        <v>1</v>
      </c>
      <c r="H349" s="98">
        <f t="shared" si="81"/>
        <v>0</v>
      </c>
      <c r="I349" s="56">
        <f t="shared" si="81"/>
        <v>0</v>
      </c>
    </row>
    <row r="350" spans="1:9" x14ac:dyDescent="0.3">
      <c r="A350" s="69" t="s">
        <v>444</v>
      </c>
      <c r="B350" s="70" t="s">
        <v>11</v>
      </c>
      <c r="C350" s="71" t="s">
        <v>438</v>
      </c>
      <c r="D350" s="36">
        <v>128</v>
      </c>
      <c r="E350" s="37">
        <f>1.06*16.29</f>
        <v>17.27</v>
      </c>
      <c r="F350" s="38">
        <f>ROUND(D350*E350,2)</f>
        <v>2210.56</v>
      </c>
      <c r="G350" s="36">
        <v>128</v>
      </c>
      <c r="H350" s="91"/>
      <c r="I350" s="38">
        <f>ROUND(G350*H350,2)</f>
        <v>0</v>
      </c>
    </row>
    <row r="351" spans="1:9" x14ac:dyDescent="0.3">
      <c r="A351" s="69" t="s">
        <v>445</v>
      </c>
      <c r="B351" s="70" t="s">
        <v>8</v>
      </c>
      <c r="C351" s="71" t="s">
        <v>446</v>
      </c>
      <c r="D351" s="36">
        <v>10</v>
      </c>
      <c r="E351" s="37">
        <f>1.06*5.6</f>
        <v>5.94</v>
      </c>
      <c r="F351" s="38">
        <f>ROUND(D351*E351,2)</f>
        <v>59.4</v>
      </c>
      <c r="G351" s="36">
        <v>10</v>
      </c>
      <c r="H351" s="91"/>
      <c r="I351" s="38">
        <f>ROUND(G351*H351,2)</f>
        <v>0</v>
      </c>
    </row>
    <row r="352" spans="1:9" x14ac:dyDescent="0.3">
      <c r="A352" s="69" t="s">
        <v>447</v>
      </c>
      <c r="B352" s="70" t="s">
        <v>11</v>
      </c>
      <c r="C352" s="71" t="s">
        <v>448</v>
      </c>
      <c r="D352" s="36">
        <v>2</v>
      </c>
      <c r="E352" s="37">
        <f>1.06*133</f>
        <v>140.97999999999999</v>
      </c>
      <c r="F352" s="38">
        <f>ROUND(D352*E352,2)</f>
        <v>281.95999999999998</v>
      </c>
      <c r="G352" s="36">
        <v>2</v>
      </c>
      <c r="H352" s="91"/>
      <c r="I352" s="38">
        <f>ROUND(G352*H352,2)</f>
        <v>0</v>
      </c>
    </row>
    <row r="353" spans="1:9" x14ac:dyDescent="0.3">
      <c r="A353" s="72"/>
      <c r="B353" s="73"/>
      <c r="C353" s="74" t="s">
        <v>449</v>
      </c>
      <c r="D353" s="36">
        <v>1</v>
      </c>
      <c r="E353" s="40">
        <f>SUM(F350:F352)</f>
        <v>2551.92</v>
      </c>
      <c r="F353" s="41">
        <f>ROUND(D353*E353,2)</f>
        <v>2551.92</v>
      </c>
      <c r="G353" s="36">
        <v>1</v>
      </c>
      <c r="H353" s="92">
        <f>SUM(I350:I352)</f>
        <v>0</v>
      </c>
      <c r="I353" s="41">
        <f>ROUND(G353*H353,2)</f>
        <v>0</v>
      </c>
    </row>
    <row r="354" spans="1:9" ht="1.05" customHeight="1" x14ac:dyDescent="0.3">
      <c r="A354" s="42"/>
      <c r="B354" s="43"/>
      <c r="C354" s="75"/>
      <c r="D354" s="42"/>
      <c r="E354" s="43"/>
      <c r="F354" s="44"/>
      <c r="G354" s="42"/>
      <c r="H354" s="91"/>
      <c r="I354" s="44"/>
    </row>
    <row r="355" spans="1:9" x14ac:dyDescent="0.3">
      <c r="A355" s="82" t="s">
        <v>450</v>
      </c>
      <c r="B355" s="83" t="s">
        <v>5</v>
      </c>
      <c r="C355" s="84" t="s">
        <v>451</v>
      </c>
      <c r="D355" s="54">
        <f t="shared" ref="D355:I355" si="82">D357</f>
        <v>1</v>
      </c>
      <c r="E355" s="55">
        <f t="shared" si="82"/>
        <v>1105.28</v>
      </c>
      <c r="F355" s="56">
        <f t="shared" si="82"/>
        <v>1105.28</v>
      </c>
      <c r="G355" s="54">
        <f t="shared" si="82"/>
        <v>1</v>
      </c>
      <c r="H355" s="98">
        <f t="shared" si="82"/>
        <v>0</v>
      </c>
      <c r="I355" s="56">
        <f t="shared" si="82"/>
        <v>0</v>
      </c>
    </row>
    <row r="356" spans="1:9" x14ac:dyDescent="0.3">
      <c r="A356" s="69" t="s">
        <v>452</v>
      </c>
      <c r="B356" s="70" t="s">
        <v>11</v>
      </c>
      <c r="C356" s="71" t="s">
        <v>438</v>
      </c>
      <c r="D356" s="36">
        <v>64</v>
      </c>
      <c r="E356" s="37">
        <f>1.06*16.29</f>
        <v>17.27</v>
      </c>
      <c r="F356" s="38">
        <f>ROUND(D356*E356,2)</f>
        <v>1105.28</v>
      </c>
      <c r="G356" s="36">
        <v>64</v>
      </c>
      <c r="H356" s="91"/>
      <c r="I356" s="38">
        <f>ROUND(G356*H356,2)</f>
        <v>0</v>
      </c>
    </row>
    <row r="357" spans="1:9" x14ac:dyDescent="0.3">
      <c r="A357" s="72"/>
      <c r="B357" s="73"/>
      <c r="C357" s="74" t="s">
        <v>453</v>
      </c>
      <c r="D357" s="36">
        <v>1</v>
      </c>
      <c r="E357" s="40">
        <f>F356</f>
        <v>1105.28</v>
      </c>
      <c r="F357" s="41">
        <f>ROUND(D357*E357,2)</f>
        <v>1105.28</v>
      </c>
      <c r="G357" s="36">
        <v>1</v>
      </c>
      <c r="H357" s="92">
        <f>I356</f>
        <v>0</v>
      </c>
      <c r="I357" s="41">
        <f>ROUND(G357*H357,2)</f>
        <v>0</v>
      </c>
    </row>
    <row r="358" spans="1:9" ht="1.05" customHeight="1" x14ac:dyDescent="0.3">
      <c r="A358" s="42"/>
      <c r="B358" s="43"/>
      <c r="C358" s="75"/>
      <c r="D358" s="42"/>
      <c r="E358" s="43"/>
      <c r="F358" s="44"/>
      <c r="G358" s="42"/>
      <c r="H358" s="91"/>
      <c r="I358" s="44"/>
    </row>
    <row r="359" spans="1:9" x14ac:dyDescent="0.3">
      <c r="A359" s="82" t="s">
        <v>454</v>
      </c>
      <c r="B359" s="83" t="s">
        <v>5</v>
      </c>
      <c r="C359" s="84" t="s">
        <v>455</v>
      </c>
      <c r="D359" s="54">
        <f t="shared" ref="D359:I359" si="83">D361</f>
        <v>1</v>
      </c>
      <c r="E359" s="55">
        <f t="shared" si="83"/>
        <v>552.64</v>
      </c>
      <c r="F359" s="56">
        <f t="shared" si="83"/>
        <v>552.64</v>
      </c>
      <c r="G359" s="54">
        <f t="shared" si="83"/>
        <v>1</v>
      </c>
      <c r="H359" s="98">
        <f t="shared" si="83"/>
        <v>0</v>
      </c>
      <c r="I359" s="56">
        <f t="shared" si="83"/>
        <v>0</v>
      </c>
    </row>
    <row r="360" spans="1:9" x14ac:dyDescent="0.3">
      <c r="A360" s="69" t="s">
        <v>456</v>
      </c>
      <c r="B360" s="70" t="s">
        <v>11</v>
      </c>
      <c r="C360" s="71" t="s">
        <v>438</v>
      </c>
      <c r="D360" s="36">
        <v>32</v>
      </c>
      <c r="E360" s="37">
        <f>1.06*16.29</f>
        <v>17.27</v>
      </c>
      <c r="F360" s="38">
        <f>ROUND(D360*E360,2)</f>
        <v>552.64</v>
      </c>
      <c r="G360" s="36">
        <v>32</v>
      </c>
      <c r="H360" s="91"/>
      <c r="I360" s="38">
        <f>ROUND(G360*H360,2)</f>
        <v>0</v>
      </c>
    </row>
    <row r="361" spans="1:9" x14ac:dyDescent="0.3">
      <c r="A361" s="72"/>
      <c r="B361" s="73"/>
      <c r="C361" s="74" t="s">
        <v>457</v>
      </c>
      <c r="D361" s="36">
        <v>1</v>
      </c>
      <c r="E361" s="40">
        <f>F360</f>
        <v>552.64</v>
      </c>
      <c r="F361" s="41">
        <f>ROUND(D361*E361,2)</f>
        <v>552.64</v>
      </c>
      <c r="G361" s="36">
        <v>1</v>
      </c>
      <c r="H361" s="92">
        <f>I360</f>
        <v>0</v>
      </c>
      <c r="I361" s="41">
        <f>ROUND(G361*H361,2)</f>
        <v>0</v>
      </c>
    </row>
    <row r="362" spans="1:9" ht="1.05" customHeight="1" x14ac:dyDescent="0.3">
      <c r="A362" s="42"/>
      <c r="B362" s="43"/>
      <c r="C362" s="75"/>
      <c r="D362" s="42"/>
      <c r="E362" s="43"/>
      <c r="F362" s="44"/>
      <c r="G362" s="42"/>
      <c r="H362" s="91"/>
      <c r="I362" s="44"/>
    </row>
    <row r="363" spans="1:9" x14ac:dyDescent="0.3">
      <c r="A363" s="82" t="s">
        <v>458</v>
      </c>
      <c r="B363" s="83" t="s">
        <v>5</v>
      </c>
      <c r="C363" s="84" t="s">
        <v>459</v>
      </c>
      <c r="D363" s="54">
        <f t="shared" ref="D363:I363" si="84">D365</f>
        <v>1</v>
      </c>
      <c r="E363" s="55">
        <f t="shared" si="84"/>
        <v>16112</v>
      </c>
      <c r="F363" s="56">
        <f t="shared" si="84"/>
        <v>16112</v>
      </c>
      <c r="G363" s="54">
        <f t="shared" si="84"/>
        <v>1</v>
      </c>
      <c r="H363" s="98">
        <f t="shared" si="84"/>
        <v>0</v>
      </c>
      <c r="I363" s="56">
        <f t="shared" si="84"/>
        <v>0</v>
      </c>
    </row>
    <row r="364" spans="1:9" ht="20.399999999999999" x14ac:dyDescent="0.3">
      <c r="A364" s="69" t="s">
        <v>460</v>
      </c>
      <c r="B364" s="70" t="s">
        <v>11</v>
      </c>
      <c r="C364" s="71" t="s">
        <v>462</v>
      </c>
      <c r="D364" s="36">
        <v>16</v>
      </c>
      <c r="E364" s="37">
        <f>1.06*950</f>
        <v>1007</v>
      </c>
      <c r="F364" s="38">
        <f>ROUND(D364*E364,2)</f>
        <v>16112</v>
      </c>
      <c r="G364" s="36">
        <v>16</v>
      </c>
      <c r="H364" s="91"/>
      <c r="I364" s="38">
        <f>ROUND(G364*H364,2)</f>
        <v>0</v>
      </c>
    </row>
    <row r="365" spans="1:9" x14ac:dyDescent="0.3">
      <c r="A365" s="72"/>
      <c r="B365" s="73"/>
      <c r="C365" s="74" t="s">
        <v>463</v>
      </c>
      <c r="D365" s="36">
        <v>1</v>
      </c>
      <c r="E365" s="40">
        <f>F364</f>
        <v>16112</v>
      </c>
      <c r="F365" s="41">
        <f>ROUND(D365*E365,2)</f>
        <v>16112</v>
      </c>
      <c r="G365" s="36">
        <v>1</v>
      </c>
      <c r="H365" s="92">
        <f>I364</f>
        <v>0</v>
      </c>
      <c r="I365" s="41">
        <f>ROUND(G365*H365,2)</f>
        <v>0</v>
      </c>
    </row>
    <row r="366" spans="1:9" ht="1.05" customHeight="1" x14ac:dyDescent="0.3">
      <c r="A366" s="42"/>
      <c r="B366" s="43"/>
      <c r="C366" s="75"/>
      <c r="D366" s="42"/>
      <c r="E366" s="43"/>
      <c r="F366" s="44"/>
      <c r="G366" s="42"/>
      <c r="H366" s="91"/>
      <c r="I366" s="44"/>
    </row>
    <row r="367" spans="1:9" x14ac:dyDescent="0.3">
      <c r="A367" s="82" t="s">
        <v>464</v>
      </c>
      <c r="B367" s="83" t="s">
        <v>5</v>
      </c>
      <c r="C367" s="84" t="s">
        <v>465</v>
      </c>
      <c r="D367" s="54">
        <f t="shared" ref="D367:I367" si="85">D372</f>
        <v>1</v>
      </c>
      <c r="E367" s="55">
        <f t="shared" si="85"/>
        <v>1169.8699999999999</v>
      </c>
      <c r="F367" s="56">
        <f t="shared" si="85"/>
        <v>1169.8699999999999</v>
      </c>
      <c r="G367" s="54">
        <f t="shared" si="85"/>
        <v>1</v>
      </c>
      <c r="H367" s="98">
        <f t="shared" si="85"/>
        <v>0</v>
      </c>
      <c r="I367" s="56">
        <f t="shared" si="85"/>
        <v>0</v>
      </c>
    </row>
    <row r="368" spans="1:9" x14ac:dyDescent="0.3">
      <c r="A368" s="69" t="s">
        <v>466</v>
      </c>
      <c r="B368" s="70" t="s">
        <v>11</v>
      </c>
      <c r="C368" s="71" t="s">
        <v>467</v>
      </c>
      <c r="D368" s="36">
        <v>1</v>
      </c>
      <c r="E368" s="37">
        <f>1.06*403.65</f>
        <v>427.87</v>
      </c>
      <c r="F368" s="38">
        <f>ROUND(D368*E368,2)</f>
        <v>427.87</v>
      </c>
      <c r="G368" s="36">
        <v>1</v>
      </c>
      <c r="H368" s="91"/>
      <c r="I368" s="38">
        <f>ROUND(G368*H368,2)</f>
        <v>0</v>
      </c>
    </row>
    <row r="369" spans="1:9" x14ac:dyDescent="0.3">
      <c r="A369" s="69" t="s">
        <v>468</v>
      </c>
      <c r="B369" s="70" t="s">
        <v>11</v>
      </c>
      <c r="C369" s="71" t="s">
        <v>469</v>
      </c>
      <c r="D369" s="36">
        <v>1</v>
      </c>
      <c r="E369" s="37">
        <f>1.06*300</f>
        <v>318</v>
      </c>
      <c r="F369" s="38">
        <f>ROUND(D369*E369,2)</f>
        <v>318</v>
      </c>
      <c r="G369" s="36">
        <v>1</v>
      </c>
      <c r="H369" s="91"/>
      <c r="I369" s="38">
        <f>ROUND(G369*H369,2)</f>
        <v>0</v>
      </c>
    </row>
    <row r="370" spans="1:9" x14ac:dyDescent="0.3">
      <c r="A370" s="69" t="s">
        <v>470</v>
      </c>
      <c r="B370" s="70" t="s">
        <v>11</v>
      </c>
      <c r="C370" s="71" t="s">
        <v>471</v>
      </c>
      <c r="D370" s="36">
        <v>1</v>
      </c>
      <c r="E370" s="37">
        <f>1.06*300</f>
        <v>318</v>
      </c>
      <c r="F370" s="38">
        <f>ROUND(D370*E370,2)</f>
        <v>318</v>
      </c>
      <c r="G370" s="36">
        <v>1</v>
      </c>
      <c r="H370" s="91"/>
      <c r="I370" s="38">
        <f>ROUND(G370*H370,2)</f>
        <v>0</v>
      </c>
    </row>
    <row r="371" spans="1:9" x14ac:dyDescent="0.3">
      <c r="A371" s="69" t="s">
        <v>472</v>
      </c>
      <c r="B371" s="70" t="s">
        <v>11</v>
      </c>
      <c r="C371" s="71" t="s">
        <v>473</v>
      </c>
      <c r="D371" s="36">
        <v>1</v>
      </c>
      <c r="E371" s="37">
        <f>1.06*100</f>
        <v>106</v>
      </c>
      <c r="F371" s="38">
        <f>ROUND(D371*E371,2)</f>
        <v>106</v>
      </c>
      <c r="G371" s="36">
        <v>1</v>
      </c>
      <c r="H371" s="91"/>
      <c r="I371" s="38">
        <f>ROUND(G371*H371,2)</f>
        <v>0</v>
      </c>
    </row>
    <row r="372" spans="1:9" x14ac:dyDescent="0.3">
      <c r="A372" s="72"/>
      <c r="B372" s="73"/>
      <c r="C372" s="74" t="s">
        <v>474</v>
      </c>
      <c r="D372" s="36">
        <v>1</v>
      </c>
      <c r="E372" s="40">
        <f>SUM(F368:F371)</f>
        <v>1169.8699999999999</v>
      </c>
      <c r="F372" s="41">
        <f>ROUND(D372*E372,2)</f>
        <v>1169.8699999999999</v>
      </c>
      <c r="G372" s="36">
        <v>1</v>
      </c>
      <c r="H372" s="92">
        <f>SUM(I368:I371)</f>
        <v>0</v>
      </c>
      <c r="I372" s="41">
        <f>ROUND(G372*H372,2)</f>
        <v>0</v>
      </c>
    </row>
    <row r="373" spans="1:9" ht="1.05" customHeight="1" x14ac:dyDescent="0.3">
      <c r="A373" s="42"/>
      <c r="B373" s="43"/>
      <c r="C373" s="75"/>
      <c r="D373" s="42"/>
      <c r="E373" s="43"/>
      <c r="F373" s="44"/>
      <c r="G373" s="42"/>
      <c r="H373" s="91"/>
      <c r="I373" s="44"/>
    </row>
    <row r="374" spans="1:9" x14ac:dyDescent="0.3">
      <c r="A374" s="72"/>
      <c r="B374" s="73"/>
      <c r="C374" s="74" t="s">
        <v>475</v>
      </c>
      <c r="D374" s="36">
        <v>1</v>
      </c>
      <c r="E374" s="40">
        <f>F344+F349+F355+F359+F363+F367</f>
        <v>27373.73</v>
      </c>
      <c r="F374" s="41">
        <f>ROUND(D374*E374,2)</f>
        <v>27373.73</v>
      </c>
      <c r="G374" s="36">
        <v>1</v>
      </c>
      <c r="H374" s="92">
        <f>I344+I349+I355+I359+I363+I367</f>
        <v>0</v>
      </c>
      <c r="I374" s="41">
        <f>ROUND(G374*H374,2)</f>
        <v>0</v>
      </c>
    </row>
    <row r="375" spans="1:9" ht="1.05" customHeight="1" x14ac:dyDescent="0.3">
      <c r="A375" s="42"/>
      <c r="B375" s="43"/>
      <c r="C375" s="75"/>
      <c r="D375" s="42"/>
      <c r="E375" s="43"/>
      <c r="F375" s="44"/>
      <c r="G375" s="42"/>
      <c r="H375" s="91"/>
      <c r="I375" s="44"/>
    </row>
    <row r="376" spans="1:9" x14ac:dyDescent="0.3">
      <c r="A376" s="79" t="s">
        <v>476</v>
      </c>
      <c r="B376" s="80" t="s">
        <v>5</v>
      </c>
      <c r="C376" s="81" t="s">
        <v>434</v>
      </c>
      <c r="D376" s="50">
        <f t="shared" ref="D376:I376" si="86">D417</f>
        <v>1</v>
      </c>
      <c r="E376" s="51">
        <f t="shared" si="86"/>
        <v>32945.129999999997</v>
      </c>
      <c r="F376" s="52">
        <f t="shared" si="86"/>
        <v>32945.129999999997</v>
      </c>
      <c r="G376" s="50">
        <f t="shared" si="86"/>
        <v>1</v>
      </c>
      <c r="H376" s="97">
        <f t="shared" si="86"/>
        <v>0</v>
      </c>
      <c r="I376" s="52">
        <f t="shared" si="86"/>
        <v>0</v>
      </c>
    </row>
    <row r="377" spans="1:9" x14ac:dyDescent="0.3">
      <c r="A377" s="82" t="s">
        <v>477</v>
      </c>
      <c r="B377" s="83" t="s">
        <v>5</v>
      </c>
      <c r="C377" s="84" t="s">
        <v>436</v>
      </c>
      <c r="D377" s="54">
        <f t="shared" ref="D377:I377" si="87">D383</f>
        <v>1</v>
      </c>
      <c r="E377" s="55">
        <f t="shared" si="87"/>
        <v>9271.67</v>
      </c>
      <c r="F377" s="56">
        <f t="shared" si="87"/>
        <v>9271.67</v>
      </c>
      <c r="G377" s="54">
        <f t="shared" si="87"/>
        <v>1</v>
      </c>
      <c r="H377" s="98">
        <f t="shared" si="87"/>
        <v>0</v>
      </c>
      <c r="I377" s="56">
        <f t="shared" si="87"/>
        <v>0</v>
      </c>
    </row>
    <row r="378" spans="1:9" x14ac:dyDescent="0.3">
      <c r="A378" s="69" t="s">
        <v>439</v>
      </c>
      <c r="B378" s="70" t="s">
        <v>8</v>
      </c>
      <c r="C378" s="71" t="s">
        <v>440</v>
      </c>
      <c r="D378" s="36">
        <v>1</v>
      </c>
      <c r="E378" s="53">
        <f>1.06*7.48</f>
        <v>7.93</v>
      </c>
      <c r="F378" s="38">
        <f t="shared" ref="F378:F383" si="88">ROUND(D378*E378,2)</f>
        <v>7.93</v>
      </c>
      <c r="G378" s="36">
        <v>1</v>
      </c>
      <c r="H378" s="91"/>
      <c r="I378" s="38">
        <f t="shared" ref="I378:I383" si="89">ROUND(G378*H378,2)</f>
        <v>0</v>
      </c>
    </row>
    <row r="379" spans="1:9" x14ac:dyDescent="0.3">
      <c r="A379" s="69" t="s">
        <v>478</v>
      </c>
      <c r="B379" s="70" t="s">
        <v>8</v>
      </c>
      <c r="C379" s="71" t="s">
        <v>479</v>
      </c>
      <c r="D379" s="36">
        <v>1</v>
      </c>
      <c r="E379" s="37">
        <f>1.06*2.73</f>
        <v>2.89</v>
      </c>
      <c r="F379" s="38">
        <f t="shared" si="88"/>
        <v>2.89</v>
      </c>
      <c r="G379" s="36">
        <v>1</v>
      </c>
      <c r="H379" s="91"/>
      <c r="I379" s="38">
        <f t="shared" si="89"/>
        <v>0</v>
      </c>
    </row>
    <row r="380" spans="1:9" x14ac:dyDescent="0.3">
      <c r="A380" s="69" t="s">
        <v>437</v>
      </c>
      <c r="B380" s="70" t="s">
        <v>11</v>
      </c>
      <c r="C380" s="71" t="s">
        <v>438</v>
      </c>
      <c r="D380" s="36">
        <v>336</v>
      </c>
      <c r="E380" s="37">
        <f>1.06*16.29</f>
        <v>17.27</v>
      </c>
      <c r="F380" s="38">
        <f t="shared" si="88"/>
        <v>5802.72</v>
      </c>
      <c r="G380" s="36">
        <v>336</v>
      </c>
      <c r="H380" s="91"/>
      <c r="I380" s="38">
        <f t="shared" si="89"/>
        <v>0</v>
      </c>
    </row>
    <row r="381" spans="1:9" x14ac:dyDescent="0.3">
      <c r="A381" s="69" t="s">
        <v>480</v>
      </c>
      <c r="B381" s="70" t="s">
        <v>11</v>
      </c>
      <c r="C381" s="71" t="s">
        <v>481</v>
      </c>
      <c r="D381" s="36">
        <v>1</v>
      </c>
      <c r="E381" s="37">
        <f>1.06*54.54</f>
        <v>57.81</v>
      </c>
      <c r="F381" s="38">
        <f t="shared" si="88"/>
        <v>57.81</v>
      </c>
      <c r="G381" s="36">
        <v>1</v>
      </c>
      <c r="H381" s="91"/>
      <c r="I381" s="38">
        <f t="shared" si="89"/>
        <v>0</v>
      </c>
    </row>
    <row r="382" spans="1:9" x14ac:dyDescent="0.3">
      <c r="A382" s="69" t="s">
        <v>482</v>
      </c>
      <c r="B382" s="70" t="s">
        <v>11</v>
      </c>
      <c r="C382" s="71" t="s">
        <v>483</v>
      </c>
      <c r="D382" s="36">
        <v>168</v>
      </c>
      <c r="E382" s="37">
        <f>1.06*19.09</f>
        <v>20.239999999999998</v>
      </c>
      <c r="F382" s="38">
        <f t="shared" si="88"/>
        <v>3400.32</v>
      </c>
      <c r="G382" s="36">
        <v>168</v>
      </c>
      <c r="H382" s="91"/>
      <c r="I382" s="38">
        <f t="shared" si="89"/>
        <v>0</v>
      </c>
    </row>
    <row r="383" spans="1:9" x14ac:dyDescent="0.3">
      <c r="A383" s="72"/>
      <c r="B383" s="73"/>
      <c r="C383" s="74" t="s">
        <v>484</v>
      </c>
      <c r="D383" s="36">
        <v>1</v>
      </c>
      <c r="E383" s="40">
        <f>SUM(F378:F382)</f>
        <v>9271.67</v>
      </c>
      <c r="F383" s="41">
        <f t="shared" si="88"/>
        <v>9271.67</v>
      </c>
      <c r="G383" s="36">
        <v>1</v>
      </c>
      <c r="H383" s="92">
        <f>SUM(I378:I382)</f>
        <v>0</v>
      </c>
      <c r="I383" s="41">
        <f t="shared" si="89"/>
        <v>0</v>
      </c>
    </row>
    <row r="384" spans="1:9" ht="1.05" customHeight="1" x14ac:dyDescent="0.3">
      <c r="A384" s="42"/>
      <c r="B384" s="43"/>
      <c r="C384" s="75"/>
      <c r="D384" s="42"/>
      <c r="E384" s="43"/>
      <c r="F384" s="44"/>
      <c r="G384" s="42"/>
      <c r="H384" s="91"/>
      <c r="I384" s="44"/>
    </row>
    <row r="385" spans="1:9" x14ac:dyDescent="0.3">
      <c r="A385" s="82" t="s">
        <v>485</v>
      </c>
      <c r="B385" s="83" t="s">
        <v>5</v>
      </c>
      <c r="C385" s="84" t="s">
        <v>443</v>
      </c>
      <c r="D385" s="54">
        <f t="shared" ref="D385:I385" si="90">D391</f>
        <v>1</v>
      </c>
      <c r="E385" s="55">
        <f t="shared" si="90"/>
        <v>3572.56</v>
      </c>
      <c r="F385" s="56">
        <f t="shared" si="90"/>
        <v>3572.56</v>
      </c>
      <c r="G385" s="54">
        <f t="shared" si="90"/>
        <v>1</v>
      </c>
      <c r="H385" s="98">
        <f t="shared" si="90"/>
        <v>0</v>
      </c>
      <c r="I385" s="56">
        <f t="shared" si="90"/>
        <v>0</v>
      </c>
    </row>
    <row r="386" spans="1:9" x14ac:dyDescent="0.3">
      <c r="A386" s="69" t="s">
        <v>445</v>
      </c>
      <c r="B386" s="70" t="s">
        <v>8</v>
      </c>
      <c r="C386" s="71" t="s">
        <v>446</v>
      </c>
      <c r="D386" s="36">
        <v>1</v>
      </c>
      <c r="E386" s="37">
        <f>1.06*5.6</f>
        <v>5.94</v>
      </c>
      <c r="F386" s="38">
        <f t="shared" ref="F386:F391" si="91">ROUND(D386*E386,2)</f>
        <v>5.94</v>
      </c>
      <c r="G386" s="36">
        <v>1</v>
      </c>
      <c r="H386" s="91"/>
      <c r="I386" s="38">
        <f t="shared" ref="I386:I391" si="92">ROUND(G386*H386,2)</f>
        <v>0</v>
      </c>
    </row>
    <row r="387" spans="1:9" x14ac:dyDescent="0.3">
      <c r="A387" s="69" t="s">
        <v>486</v>
      </c>
      <c r="B387" s="70" t="s">
        <v>8</v>
      </c>
      <c r="C387" s="71" t="s">
        <v>479</v>
      </c>
      <c r="D387" s="36">
        <v>1</v>
      </c>
      <c r="E387" s="37">
        <f>1.06*2.73</f>
        <v>2.89</v>
      </c>
      <c r="F387" s="38">
        <f t="shared" si="91"/>
        <v>2.89</v>
      </c>
      <c r="G387" s="36">
        <v>1</v>
      </c>
      <c r="H387" s="91"/>
      <c r="I387" s="38">
        <f t="shared" si="92"/>
        <v>0</v>
      </c>
    </row>
    <row r="388" spans="1:9" x14ac:dyDescent="0.3">
      <c r="A388" s="69" t="s">
        <v>444</v>
      </c>
      <c r="B388" s="70" t="s">
        <v>11</v>
      </c>
      <c r="C388" s="71" t="s">
        <v>438</v>
      </c>
      <c r="D388" s="36">
        <v>128</v>
      </c>
      <c r="E388" s="37">
        <f>1.06*16.29</f>
        <v>17.27</v>
      </c>
      <c r="F388" s="38">
        <f t="shared" si="91"/>
        <v>2210.56</v>
      </c>
      <c r="G388" s="36">
        <v>128</v>
      </c>
      <c r="H388" s="91"/>
      <c r="I388" s="38">
        <f t="shared" si="92"/>
        <v>0</v>
      </c>
    </row>
    <row r="389" spans="1:9" x14ac:dyDescent="0.3">
      <c r="A389" s="69" t="s">
        <v>487</v>
      </c>
      <c r="B389" s="70" t="s">
        <v>11</v>
      </c>
      <c r="C389" s="71" t="s">
        <v>488</v>
      </c>
      <c r="D389" s="36">
        <v>1</v>
      </c>
      <c r="E389" s="37">
        <f>1.06*54.54</f>
        <v>57.81</v>
      </c>
      <c r="F389" s="38">
        <f t="shared" si="91"/>
        <v>57.81</v>
      </c>
      <c r="G389" s="36">
        <v>1</v>
      </c>
      <c r="H389" s="91"/>
      <c r="I389" s="38">
        <f t="shared" si="92"/>
        <v>0</v>
      </c>
    </row>
    <row r="390" spans="1:9" x14ac:dyDescent="0.3">
      <c r="A390" s="69" t="s">
        <v>489</v>
      </c>
      <c r="B390" s="70" t="s">
        <v>11</v>
      </c>
      <c r="C390" s="71" t="s">
        <v>483</v>
      </c>
      <c r="D390" s="36">
        <v>64</v>
      </c>
      <c r="E390" s="37">
        <f>1.06*19.09</f>
        <v>20.239999999999998</v>
      </c>
      <c r="F390" s="38">
        <f t="shared" si="91"/>
        <v>1295.3599999999999</v>
      </c>
      <c r="G390" s="36">
        <v>64</v>
      </c>
      <c r="H390" s="91"/>
      <c r="I390" s="38">
        <f t="shared" si="92"/>
        <v>0</v>
      </c>
    </row>
    <row r="391" spans="1:9" x14ac:dyDescent="0.3">
      <c r="A391" s="72"/>
      <c r="B391" s="73"/>
      <c r="C391" s="74" t="s">
        <v>490</v>
      </c>
      <c r="D391" s="36">
        <v>1</v>
      </c>
      <c r="E391" s="40">
        <f>SUM(F386:F390)</f>
        <v>3572.56</v>
      </c>
      <c r="F391" s="41">
        <f t="shared" si="91"/>
        <v>3572.56</v>
      </c>
      <c r="G391" s="36">
        <v>1</v>
      </c>
      <c r="H391" s="92">
        <f>SUM(I386:I390)</f>
        <v>0</v>
      </c>
      <c r="I391" s="41">
        <f t="shared" si="92"/>
        <v>0</v>
      </c>
    </row>
    <row r="392" spans="1:9" ht="1.05" customHeight="1" x14ac:dyDescent="0.3">
      <c r="A392" s="42"/>
      <c r="B392" s="43"/>
      <c r="C392" s="75"/>
      <c r="D392" s="42"/>
      <c r="E392" s="43"/>
      <c r="F392" s="44"/>
      <c r="G392" s="42"/>
      <c r="H392" s="91"/>
      <c r="I392" s="44"/>
    </row>
    <row r="393" spans="1:9" x14ac:dyDescent="0.3">
      <c r="A393" s="82" t="s">
        <v>491</v>
      </c>
      <c r="B393" s="83" t="s">
        <v>5</v>
      </c>
      <c r="C393" s="84" t="s">
        <v>451</v>
      </c>
      <c r="D393" s="54">
        <f t="shared" ref="D393:I393" si="93">D399</f>
        <v>1</v>
      </c>
      <c r="E393" s="55">
        <f t="shared" si="93"/>
        <v>1817.68</v>
      </c>
      <c r="F393" s="56">
        <f t="shared" si="93"/>
        <v>1817.68</v>
      </c>
      <c r="G393" s="54">
        <f t="shared" si="93"/>
        <v>1</v>
      </c>
      <c r="H393" s="98">
        <f t="shared" si="93"/>
        <v>0</v>
      </c>
      <c r="I393" s="56">
        <f t="shared" si="93"/>
        <v>0</v>
      </c>
    </row>
    <row r="394" spans="1:9" x14ac:dyDescent="0.3">
      <c r="A394" s="69" t="s">
        <v>492</v>
      </c>
      <c r="B394" s="70" t="s">
        <v>8</v>
      </c>
      <c r="C394" s="71" t="s">
        <v>493</v>
      </c>
      <c r="D394" s="36">
        <v>1</v>
      </c>
      <c r="E394" s="37">
        <f>1.06*3.79</f>
        <v>4.0199999999999996</v>
      </c>
      <c r="F394" s="38">
        <f t="shared" ref="F394:F399" si="94">ROUND(D394*E394,2)</f>
        <v>4.0199999999999996</v>
      </c>
      <c r="G394" s="36">
        <v>1</v>
      </c>
      <c r="H394" s="91"/>
      <c r="I394" s="38">
        <f t="shared" ref="I394:I399" si="95">ROUND(G394*H394,2)</f>
        <v>0</v>
      </c>
    </row>
    <row r="395" spans="1:9" x14ac:dyDescent="0.3">
      <c r="A395" s="69" t="s">
        <v>494</v>
      </c>
      <c r="B395" s="70" t="s">
        <v>8</v>
      </c>
      <c r="C395" s="71" t="s">
        <v>495</v>
      </c>
      <c r="D395" s="36">
        <v>1</v>
      </c>
      <c r="E395" s="37">
        <f>1.06*2.73</f>
        <v>2.89</v>
      </c>
      <c r="F395" s="38">
        <f t="shared" si="94"/>
        <v>2.89</v>
      </c>
      <c r="G395" s="36">
        <v>1</v>
      </c>
      <c r="H395" s="91"/>
      <c r="I395" s="38">
        <f t="shared" si="95"/>
        <v>0</v>
      </c>
    </row>
    <row r="396" spans="1:9" x14ac:dyDescent="0.3">
      <c r="A396" s="69" t="s">
        <v>452</v>
      </c>
      <c r="B396" s="70" t="s">
        <v>11</v>
      </c>
      <c r="C396" s="71" t="s">
        <v>438</v>
      </c>
      <c r="D396" s="36">
        <v>64</v>
      </c>
      <c r="E396" s="37">
        <f>1.06*16.29</f>
        <v>17.27</v>
      </c>
      <c r="F396" s="38">
        <f t="shared" si="94"/>
        <v>1105.28</v>
      </c>
      <c r="G396" s="36">
        <v>64</v>
      </c>
      <c r="H396" s="91"/>
      <c r="I396" s="38">
        <f t="shared" si="95"/>
        <v>0</v>
      </c>
    </row>
    <row r="397" spans="1:9" x14ac:dyDescent="0.3">
      <c r="A397" s="69" t="s">
        <v>496</v>
      </c>
      <c r="B397" s="70" t="s">
        <v>11</v>
      </c>
      <c r="C397" s="71" t="s">
        <v>497</v>
      </c>
      <c r="D397" s="36">
        <v>1</v>
      </c>
      <c r="E397" s="37">
        <f>1.06*54.54</f>
        <v>57.81</v>
      </c>
      <c r="F397" s="38">
        <f t="shared" si="94"/>
        <v>57.81</v>
      </c>
      <c r="G397" s="36">
        <v>1</v>
      </c>
      <c r="H397" s="91"/>
      <c r="I397" s="38">
        <f t="shared" si="95"/>
        <v>0</v>
      </c>
    </row>
    <row r="398" spans="1:9" x14ac:dyDescent="0.3">
      <c r="A398" s="69" t="s">
        <v>498</v>
      </c>
      <c r="B398" s="70" t="s">
        <v>11</v>
      </c>
      <c r="C398" s="71" t="s">
        <v>483</v>
      </c>
      <c r="D398" s="36">
        <v>32</v>
      </c>
      <c r="E398" s="37">
        <f>1.06*19.09</f>
        <v>20.239999999999998</v>
      </c>
      <c r="F398" s="38">
        <f t="shared" si="94"/>
        <v>647.67999999999995</v>
      </c>
      <c r="G398" s="36">
        <v>32</v>
      </c>
      <c r="H398" s="91"/>
      <c r="I398" s="38">
        <f t="shared" si="95"/>
        <v>0</v>
      </c>
    </row>
    <row r="399" spans="1:9" x14ac:dyDescent="0.3">
      <c r="A399" s="72"/>
      <c r="B399" s="73"/>
      <c r="C399" s="74" t="s">
        <v>499</v>
      </c>
      <c r="D399" s="36">
        <v>1</v>
      </c>
      <c r="E399" s="40">
        <f>SUM(F394:F398)</f>
        <v>1817.68</v>
      </c>
      <c r="F399" s="41">
        <f t="shared" si="94"/>
        <v>1817.68</v>
      </c>
      <c r="G399" s="36">
        <v>1</v>
      </c>
      <c r="H399" s="92">
        <f>SUM(I394:I398)</f>
        <v>0</v>
      </c>
      <c r="I399" s="41">
        <f t="shared" si="95"/>
        <v>0</v>
      </c>
    </row>
    <row r="400" spans="1:9" ht="1.05" customHeight="1" x14ac:dyDescent="0.3">
      <c r="A400" s="42"/>
      <c r="B400" s="43"/>
      <c r="C400" s="75"/>
      <c r="D400" s="42"/>
      <c r="E400" s="43"/>
      <c r="F400" s="44"/>
      <c r="G400" s="42"/>
      <c r="H400" s="91"/>
      <c r="I400" s="44"/>
    </row>
    <row r="401" spans="1:9" x14ac:dyDescent="0.3">
      <c r="A401" s="82" t="s">
        <v>500</v>
      </c>
      <c r="B401" s="83" t="s">
        <v>5</v>
      </c>
      <c r="C401" s="84" t="s">
        <v>459</v>
      </c>
      <c r="D401" s="54">
        <f t="shared" ref="D401:I401" si="96">D407</f>
        <v>1</v>
      </c>
      <c r="E401" s="55">
        <f t="shared" si="96"/>
        <v>17342.2</v>
      </c>
      <c r="F401" s="56">
        <f t="shared" si="96"/>
        <v>17342.2</v>
      </c>
      <c r="G401" s="54">
        <f t="shared" si="96"/>
        <v>1</v>
      </c>
      <c r="H401" s="98">
        <f t="shared" si="96"/>
        <v>0</v>
      </c>
      <c r="I401" s="56">
        <f t="shared" si="96"/>
        <v>0</v>
      </c>
    </row>
    <row r="402" spans="1:9" x14ac:dyDescent="0.3">
      <c r="A402" s="69" t="s">
        <v>501</v>
      </c>
      <c r="B402" s="70" t="s">
        <v>502</v>
      </c>
      <c r="C402" s="71" t="s">
        <v>503</v>
      </c>
      <c r="D402" s="36">
        <v>1</v>
      </c>
      <c r="E402" s="37">
        <f>1.06*3.27</f>
        <v>3.47</v>
      </c>
      <c r="F402" s="38">
        <f t="shared" ref="F402:F407" si="97">ROUND(D402*E402,2)</f>
        <v>3.47</v>
      </c>
      <c r="G402" s="36">
        <v>1</v>
      </c>
      <c r="H402" s="91"/>
      <c r="I402" s="38">
        <f t="shared" ref="I402:I407" si="98">ROUND(G402*H402,2)</f>
        <v>0</v>
      </c>
    </row>
    <row r="403" spans="1:9" x14ac:dyDescent="0.3">
      <c r="A403" s="69" t="s">
        <v>504</v>
      </c>
      <c r="B403" s="70" t="s">
        <v>461</v>
      </c>
      <c r="C403" s="71" t="s">
        <v>505</v>
      </c>
      <c r="D403" s="36">
        <v>1</v>
      </c>
      <c r="E403" s="37">
        <f>1.06*950</f>
        <v>1007</v>
      </c>
      <c r="F403" s="38">
        <f t="shared" si="97"/>
        <v>1007</v>
      </c>
      <c r="G403" s="36">
        <v>1</v>
      </c>
      <c r="H403" s="91"/>
      <c r="I403" s="38">
        <f t="shared" si="98"/>
        <v>0</v>
      </c>
    </row>
    <row r="404" spans="1:9" ht="20.399999999999999" x14ac:dyDescent="0.3">
      <c r="A404" s="69" t="s">
        <v>460</v>
      </c>
      <c r="B404" s="70" t="s">
        <v>461</v>
      </c>
      <c r="C404" s="71" t="s">
        <v>462</v>
      </c>
      <c r="D404" s="36">
        <v>16</v>
      </c>
      <c r="E404" s="37">
        <f>1.06*950</f>
        <v>1007</v>
      </c>
      <c r="F404" s="38">
        <f t="shared" si="97"/>
        <v>16112</v>
      </c>
      <c r="G404" s="36">
        <v>16</v>
      </c>
      <c r="H404" s="91"/>
      <c r="I404" s="38">
        <f t="shared" si="98"/>
        <v>0</v>
      </c>
    </row>
    <row r="405" spans="1:9" x14ac:dyDescent="0.3">
      <c r="A405" s="69" t="s">
        <v>506</v>
      </c>
      <c r="B405" s="70" t="s">
        <v>11</v>
      </c>
      <c r="C405" s="71" t="s">
        <v>507</v>
      </c>
      <c r="D405" s="36">
        <v>1</v>
      </c>
      <c r="E405" s="37">
        <f>1.06*54.54</f>
        <v>57.81</v>
      </c>
      <c r="F405" s="38">
        <f t="shared" si="97"/>
        <v>57.81</v>
      </c>
      <c r="G405" s="36">
        <v>1</v>
      </c>
      <c r="H405" s="91"/>
      <c r="I405" s="38">
        <f t="shared" si="98"/>
        <v>0</v>
      </c>
    </row>
    <row r="406" spans="1:9" x14ac:dyDescent="0.3">
      <c r="A406" s="69" t="s">
        <v>508</v>
      </c>
      <c r="B406" s="70" t="s">
        <v>11</v>
      </c>
      <c r="C406" s="71" t="s">
        <v>483</v>
      </c>
      <c r="D406" s="36">
        <v>8</v>
      </c>
      <c r="E406" s="37">
        <f>1.06*19.09</f>
        <v>20.239999999999998</v>
      </c>
      <c r="F406" s="38">
        <f t="shared" si="97"/>
        <v>161.91999999999999</v>
      </c>
      <c r="G406" s="36">
        <v>8</v>
      </c>
      <c r="H406" s="91"/>
      <c r="I406" s="38">
        <f t="shared" si="98"/>
        <v>0</v>
      </c>
    </row>
    <row r="407" spans="1:9" x14ac:dyDescent="0.3">
      <c r="A407" s="72"/>
      <c r="B407" s="73"/>
      <c r="C407" s="74" t="s">
        <v>509</v>
      </c>
      <c r="D407" s="36">
        <v>1</v>
      </c>
      <c r="E407" s="40">
        <f>SUM(F402:F406)</f>
        <v>17342.2</v>
      </c>
      <c r="F407" s="41">
        <f t="shared" si="97"/>
        <v>17342.2</v>
      </c>
      <c r="G407" s="36">
        <v>1</v>
      </c>
      <c r="H407" s="92">
        <f>SUM(I402:I406)</f>
        <v>0</v>
      </c>
      <c r="I407" s="41">
        <f t="shared" si="98"/>
        <v>0</v>
      </c>
    </row>
    <row r="408" spans="1:9" ht="1.05" customHeight="1" x14ac:dyDescent="0.3">
      <c r="A408" s="42"/>
      <c r="B408" s="43"/>
      <c r="C408" s="75"/>
      <c r="D408" s="42"/>
      <c r="E408" s="43"/>
      <c r="F408" s="44"/>
      <c r="G408" s="42"/>
      <c r="H408" s="91"/>
      <c r="I408" s="44"/>
    </row>
    <row r="409" spans="1:9" x14ac:dyDescent="0.3">
      <c r="A409" s="82" t="s">
        <v>510</v>
      </c>
      <c r="B409" s="83" t="s">
        <v>5</v>
      </c>
      <c r="C409" s="84" t="s">
        <v>455</v>
      </c>
      <c r="D409" s="54">
        <f t="shared" ref="D409:I409" si="99">D415</f>
        <v>1</v>
      </c>
      <c r="E409" s="55">
        <f t="shared" si="99"/>
        <v>941.02</v>
      </c>
      <c r="F409" s="56">
        <f t="shared" si="99"/>
        <v>941.02</v>
      </c>
      <c r="G409" s="54">
        <f t="shared" si="99"/>
        <v>1</v>
      </c>
      <c r="H409" s="98">
        <f t="shared" si="99"/>
        <v>0</v>
      </c>
      <c r="I409" s="56">
        <f t="shared" si="99"/>
        <v>0</v>
      </c>
    </row>
    <row r="410" spans="1:9" x14ac:dyDescent="0.3">
      <c r="A410" s="69" t="s">
        <v>511</v>
      </c>
      <c r="B410" s="70" t="s">
        <v>8</v>
      </c>
      <c r="C410" s="71" t="s">
        <v>512</v>
      </c>
      <c r="D410" s="36">
        <v>1</v>
      </c>
      <c r="E410" s="37">
        <f>1.06*3.62</f>
        <v>3.84</v>
      </c>
      <c r="F410" s="38">
        <f t="shared" ref="F410:F415" si="100">ROUND(D410*E410,2)</f>
        <v>3.84</v>
      </c>
      <c r="G410" s="36">
        <v>1</v>
      </c>
      <c r="H410" s="91"/>
      <c r="I410" s="38">
        <f t="shared" ref="I410:I415" si="101">ROUND(G410*H410,2)</f>
        <v>0</v>
      </c>
    </row>
    <row r="411" spans="1:9" x14ac:dyDescent="0.3">
      <c r="A411" s="69" t="s">
        <v>513</v>
      </c>
      <c r="B411" s="70" t="s">
        <v>8</v>
      </c>
      <c r="C411" s="71" t="s">
        <v>479</v>
      </c>
      <c r="D411" s="36">
        <v>1</v>
      </c>
      <c r="E411" s="37">
        <f>1.06*2.73</f>
        <v>2.89</v>
      </c>
      <c r="F411" s="38">
        <f t="shared" si="100"/>
        <v>2.89</v>
      </c>
      <c r="G411" s="36">
        <v>1</v>
      </c>
      <c r="H411" s="91"/>
      <c r="I411" s="38">
        <f t="shared" si="101"/>
        <v>0</v>
      </c>
    </row>
    <row r="412" spans="1:9" x14ac:dyDescent="0.3">
      <c r="A412" s="69" t="s">
        <v>456</v>
      </c>
      <c r="B412" s="70" t="s">
        <v>11</v>
      </c>
      <c r="C412" s="71" t="s">
        <v>438</v>
      </c>
      <c r="D412" s="36">
        <v>32</v>
      </c>
      <c r="E412" s="37">
        <f>1.06*16.29</f>
        <v>17.27</v>
      </c>
      <c r="F412" s="38">
        <f t="shared" si="100"/>
        <v>552.64</v>
      </c>
      <c r="G412" s="36">
        <v>32</v>
      </c>
      <c r="H412" s="91"/>
      <c r="I412" s="38">
        <f t="shared" si="101"/>
        <v>0</v>
      </c>
    </row>
    <row r="413" spans="1:9" x14ac:dyDescent="0.3">
      <c r="A413" s="69" t="s">
        <v>514</v>
      </c>
      <c r="B413" s="70" t="s">
        <v>11</v>
      </c>
      <c r="C413" s="71" t="s">
        <v>515</v>
      </c>
      <c r="D413" s="36">
        <v>1</v>
      </c>
      <c r="E413" s="37">
        <f>1.06*54.54</f>
        <v>57.81</v>
      </c>
      <c r="F413" s="38">
        <f t="shared" si="100"/>
        <v>57.81</v>
      </c>
      <c r="G413" s="36">
        <v>1</v>
      </c>
      <c r="H413" s="91"/>
      <c r="I413" s="38">
        <f t="shared" si="101"/>
        <v>0</v>
      </c>
    </row>
    <row r="414" spans="1:9" x14ac:dyDescent="0.3">
      <c r="A414" s="69" t="s">
        <v>508</v>
      </c>
      <c r="B414" s="70" t="s">
        <v>11</v>
      </c>
      <c r="C414" s="71" t="s">
        <v>483</v>
      </c>
      <c r="D414" s="36">
        <v>16</v>
      </c>
      <c r="E414" s="37">
        <f>1.06*19.09</f>
        <v>20.239999999999998</v>
      </c>
      <c r="F414" s="38">
        <f t="shared" si="100"/>
        <v>323.83999999999997</v>
      </c>
      <c r="G414" s="36">
        <v>16</v>
      </c>
      <c r="H414" s="91"/>
      <c r="I414" s="38">
        <f t="shared" si="101"/>
        <v>0</v>
      </c>
    </row>
    <row r="415" spans="1:9" x14ac:dyDescent="0.3">
      <c r="A415" s="72"/>
      <c r="B415" s="73"/>
      <c r="C415" s="74" t="s">
        <v>516</v>
      </c>
      <c r="D415" s="36">
        <v>1</v>
      </c>
      <c r="E415" s="40">
        <f>SUM(F410:F414)</f>
        <v>941.02</v>
      </c>
      <c r="F415" s="41">
        <f t="shared" si="100"/>
        <v>941.02</v>
      </c>
      <c r="G415" s="36">
        <v>1</v>
      </c>
      <c r="H415" s="92">
        <f>SUM(I410:I414)</f>
        <v>0</v>
      </c>
      <c r="I415" s="41">
        <f t="shared" si="101"/>
        <v>0</v>
      </c>
    </row>
    <row r="416" spans="1:9" ht="1.05" customHeight="1" x14ac:dyDescent="0.3">
      <c r="A416" s="42"/>
      <c r="B416" s="43"/>
      <c r="C416" s="75"/>
      <c r="D416" s="42"/>
      <c r="E416" s="43"/>
      <c r="F416" s="44"/>
      <c r="G416" s="42"/>
      <c r="H416" s="91"/>
      <c r="I416" s="44"/>
    </row>
    <row r="417" spans="1:9" x14ac:dyDescent="0.3">
      <c r="A417" s="72"/>
      <c r="B417" s="73"/>
      <c r="C417" s="74" t="s">
        <v>517</v>
      </c>
      <c r="D417" s="36">
        <v>1</v>
      </c>
      <c r="E417" s="40">
        <f>F377+F385+F393+F401+F409</f>
        <v>32945.129999999997</v>
      </c>
      <c r="F417" s="41">
        <f>ROUND(D417*E417,2)</f>
        <v>32945.129999999997</v>
      </c>
      <c r="G417" s="36">
        <v>1</v>
      </c>
      <c r="H417" s="92">
        <f>I377+I385+I393+I401+I409</f>
        <v>0</v>
      </c>
      <c r="I417" s="41">
        <f>ROUND(G417*H417,2)</f>
        <v>0</v>
      </c>
    </row>
    <row r="418" spans="1:9" ht="1.05" customHeight="1" x14ac:dyDescent="0.3">
      <c r="A418" s="42"/>
      <c r="B418" s="43"/>
      <c r="C418" s="75"/>
      <c r="D418" s="42"/>
      <c r="E418" s="43"/>
      <c r="F418" s="44"/>
      <c r="G418" s="42"/>
      <c r="H418" s="91"/>
      <c r="I418" s="44"/>
    </row>
    <row r="419" spans="1:9" x14ac:dyDescent="0.3">
      <c r="A419" s="79" t="s">
        <v>518</v>
      </c>
      <c r="B419" s="80" t="s">
        <v>5</v>
      </c>
      <c r="C419" s="81" t="s">
        <v>519</v>
      </c>
      <c r="D419" s="50">
        <f t="shared" ref="D419:I419" si="102">D425</f>
        <v>1</v>
      </c>
      <c r="E419" s="51">
        <f t="shared" si="102"/>
        <v>4028</v>
      </c>
      <c r="F419" s="52">
        <f t="shared" si="102"/>
        <v>4028</v>
      </c>
      <c r="G419" s="50">
        <f t="shared" si="102"/>
        <v>1</v>
      </c>
      <c r="H419" s="97">
        <f t="shared" si="102"/>
        <v>0</v>
      </c>
      <c r="I419" s="52">
        <f t="shared" si="102"/>
        <v>0</v>
      </c>
    </row>
    <row r="420" spans="1:9" x14ac:dyDescent="0.3">
      <c r="A420" s="82" t="s">
        <v>520</v>
      </c>
      <c r="B420" s="83" t="s">
        <v>5</v>
      </c>
      <c r="C420" s="84" t="s">
        <v>521</v>
      </c>
      <c r="D420" s="54">
        <f t="shared" ref="D420:I420" si="103">D423</f>
        <v>1</v>
      </c>
      <c r="E420" s="55">
        <f t="shared" si="103"/>
        <v>4028</v>
      </c>
      <c r="F420" s="56">
        <f t="shared" si="103"/>
        <v>4028</v>
      </c>
      <c r="G420" s="54">
        <f t="shared" si="103"/>
        <v>1</v>
      </c>
      <c r="H420" s="98">
        <f t="shared" si="103"/>
        <v>0</v>
      </c>
      <c r="I420" s="56">
        <f t="shared" si="103"/>
        <v>0</v>
      </c>
    </row>
    <row r="421" spans="1:9" x14ac:dyDescent="0.3">
      <c r="A421" s="69" t="s">
        <v>504</v>
      </c>
      <c r="B421" s="70" t="s">
        <v>461</v>
      </c>
      <c r="C421" s="71" t="s">
        <v>505</v>
      </c>
      <c r="D421" s="36">
        <v>2</v>
      </c>
      <c r="E421" s="37">
        <f>1.06*950</f>
        <v>1007</v>
      </c>
      <c r="F421" s="38">
        <f>ROUND(D421*E421,2)</f>
        <v>2014</v>
      </c>
      <c r="G421" s="36">
        <v>2</v>
      </c>
      <c r="H421" s="91"/>
      <c r="I421" s="38">
        <f>ROUND(G421*H421,2)</f>
        <v>0</v>
      </c>
    </row>
    <row r="422" spans="1:9" ht="20.399999999999999" x14ac:dyDescent="0.3">
      <c r="A422" s="69" t="s">
        <v>460</v>
      </c>
      <c r="B422" s="70" t="s">
        <v>461</v>
      </c>
      <c r="C422" s="71" t="s">
        <v>462</v>
      </c>
      <c r="D422" s="36">
        <v>2</v>
      </c>
      <c r="E422" s="37">
        <f>1.06*950</f>
        <v>1007</v>
      </c>
      <c r="F422" s="38">
        <f>ROUND(D422*E422,2)</f>
        <v>2014</v>
      </c>
      <c r="G422" s="36">
        <v>2</v>
      </c>
      <c r="H422" s="91"/>
      <c r="I422" s="38">
        <f>ROUND(G422*H422,2)</f>
        <v>0</v>
      </c>
    </row>
    <row r="423" spans="1:9" x14ac:dyDescent="0.3">
      <c r="A423" s="72"/>
      <c r="B423" s="73"/>
      <c r="C423" s="74" t="s">
        <v>522</v>
      </c>
      <c r="D423" s="36">
        <v>1</v>
      </c>
      <c r="E423" s="40">
        <f>SUM(F421:F422)</f>
        <v>4028</v>
      </c>
      <c r="F423" s="41">
        <f>ROUND(D423*E423,2)</f>
        <v>4028</v>
      </c>
      <c r="G423" s="36">
        <v>1</v>
      </c>
      <c r="H423" s="92">
        <f>SUM(I421:I422)</f>
        <v>0</v>
      </c>
      <c r="I423" s="41">
        <f>ROUND(G423*H423,2)</f>
        <v>0</v>
      </c>
    </row>
    <row r="424" spans="1:9" ht="1.05" customHeight="1" x14ac:dyDescent="0.3">
      <c r="A424" s="42"/>
      <c r="B424" s="43"/>
      <c r="C424" s="75"/>
      <c r="D424" s="42"/>
      <c r="E424" s="43"/>
      <c r="F424" s="44"/>
      <c r="G424" s="42"/>
      <c r="H424" s="91"/>
      <c r="I424" s="44"/>
    </row>
    <row r="425" spans="1:9" x14ac:dyDescent="0.3">
      <c r="A425" s="72"/>
      <c r="B425" s="73"/>
      <c r="C425" s="74" t="s">
        <v>523</v>
      </c>
      <c r="D425" s="36">
        <v>1</v>
      </c>
      <c r="E425" s="40">
        <f>F420</f>
        <v>4028</v>
      </c>
      <c r="F425" s="41">
        <f>ROUND(D425*E425,2)</f>
        <v>4028</v>
      </c>
      <c r="G425" s="36">
        <v>1</v>
      </c>
      <c r="H425" s="92">
        <f>I420</f>
        <v>0</v>
      </c>
      <c r="I425" s="41">
        <f>ROUND(G425*H425,2)</f>
        <v>0</v>
      </c>
    </row>
    <row r="426" spans="1:9" ht="1.05" customHeight="1" x14ac:dyDescent="0.3">
      <c r="A426" s="42"/>
      <c r="B426" s="43"/>
      <c r="C426" s="75"/>
      <c r="D426" s="42"/>
      <c r="E426" s="43"/>
      <c r="F426" s="44"/>
      <c r="G426" s="42"/>
      <c r="H426" s="91"/>
      <c r="I426" s="44"/>
    </row>
    <row r="427" spans="1:9" x14ac:dyDescent="0.3">
      <c r="A427" s="79" t="s">
        <v>524</v>
      </c>
      <c r="B427" s="80" t="s">
        <v>5</v>
      </c>
      <c r="C427" s="81" t="s">
        <v>525</v>
      </c>
      <c r="D427" s="50">
        <f t="shared" ref="D427:I427" si="104">D429</f>
        <v>1</v>
      </c>
      <c r="E427" s="51">
        <f t="shared" si="104"/>
        <v>4134</v>
      </c>
      <c r="F427" s="52">
        <f t="shared" si="104"/>
        <v>4134</v>
      </c>
      <c r="G427" s="50">
        <f t="shared" si="104"/>
        <v>1</v>
      </c>
      <c r="H427" s="97">
        <f t="shared" si="104"/>
        <v>0</v>
      </c>
      <c r="I427" s="52">
        <f t="shared" si="104"/>
        <v>0</v>
      </c>
    </row>
    <row r="428" spans="1:9" x14ac:dyDescent="0.3">
      <c r="A428" s="69" t="s">
        <v>526</v>
      </c>
      <c r="B428" s="70" t="s">
        <v>5</v>
      </c>
      <c r="C428" s="71" t="s">
        <v>527</v>
      </c>
      <c r="D428" s="36">
        <v>5</v>
      </c>
      <c r="E428" s="37">
        <f>1.06*780</f>
        <v>826.8</v>
      </c>
      <c r="F428" s="38">
        <f>ROUND(D428*E428,2)</f>
        <v>4134</v>
      </c>
      <c r="G428" s="36">
        <v>5</v>
      </c>
      <c r="H428" s="91"/>
      <c r="I428" s="38">
        <f>ROUND(G428*H428,2)</f>
        <v>0</v>
      </c>
    </row>
    <row r="429" spans="1:9" x14ac:dyDescent="0.3">
      <c r="A429" s="72"/>
      <c r="B429" s="73"/>
      <c r="C429" s="74" t="s">
        <v>528</v>
      </c>
      <c r="D429" s="36">
        <v>1</v>
      </c>
      <c r="E429" s="40">
        <f>F428</f>
        <v>4134</v>
      </c>
      <c r="F429" s="41">
        <f>ROUND(D429*E429,2)</f>
        <v>4134</v>
      </c>
      <c r="G429" s="36">
        <v>1</v>
      </c>
      <c r="H429" s="92">
        <f>I428</f>
        <v>0</v>
      </c>
      <c r="I429" s="41">
        <f>ROUND(G429*H429,2)</f>
        <v>0</v>
      </c>
    </row>
    <row r="430" spans="1:9" ht="1.05" customHeight="1" x14ac:dyDescent="0.3">
      <c r="A430" s="42"/>
      <c r="B430" s="43"/>
      <c r="C430" s="75"/>
      <c r="D430" s="42"/>
      <c r="E430" s="43"/>
      <c r="F430" s="44"/>
      <c r="G430" s="42"/>
      <c r="H430" s="91"/>
      <c r="I430" s="44"/>
    </row>
    <row r="431" spans="1:9" x14ac:dyDescent="0.3">
      <c r="A431" s="72"/>
      <c r="B431" s="73"/>
      <c r="C431" s="74" t="s">
        <v>529</v>
      </c>
      <c r="D431" s="36">
        <v>1</v>
      </c>
      <c r="E431" s="40">
        <f>F343+F376+F419+F427</f>
        <v>68480.86</v>
      </c>
      <c r="F431" s="41">
        <f>ROUND(D431*E431,2)</f>
        <v>68480.86</v>
      </c>
      <c r="G431" s="36">
        <v>1</v>
      </c>
      <c r="H431" s="92">
        <f>I343+I376+I419+I427</f>
        <v>0</v>
      </c>
      <c r="I431" s="41">
        <f>ROUND(G431*H431,2)</f>
        <v>0</v>
      </c>
    </row>
    <row r="432" spans="1:9" ht="1.05" customHeight="1" x14ac:dyDescent="0.3">
      <c r="A432" s="42"/>
      <c r="B432" s="43"/>
      <c r="C432" s="75"/>
      <c r="D432" s="42"/>
      <c r="E432" s="43"/>
      <c r="F432" s="44"/>
      <c r="G432" s="42"/>
      <c r="H432" s="91"/>
      <c r="I432" s="44"/>
    </row>
    <row r="433" spans="1:9" x14ac:dyDescent="0.3">
      <c r="A433" s="72"/>
      <c r="B433" s="73"/>
      <c r="C433" s="74" t="s">
        <v>530</v>
      </c>
      <c r="D433" s="39">
        <v>1</v>
      </c>
      <c r="E433" s="40">
        <f>F244+F258+F296+F342</f>
        <v>173369.68</v>
      </c>
      <c r="F433" s="41">
        <f>ROUND(D433*E433,2)</f>
        <v>173369.68</v>
      </c>
      <c r="G433" s="39">
        <v>1</v>
      </c>
      <c r="H433" s="92">
        <f>I244+I258+I296+I342</f>
        <v>0</v>
      </c>
      <c r="I433" s="41">
        <f>ROUND(G433*H433,2)</f>
        <v>0</v>
      </c>
    </row>
    <row r="434" spans="1:9" ht="1.05" customHeight="1" x14ac:dyDescent="0.3">
      <c r="A434" s="42"/>
      <c r="B434" s="43"/>
      <c r="C434" s="75"/>
      <c r="D434" s="42"/>
      <c r="E434" s="43"/>
      <c r="F434" s="44"/>
      <c r="G434" s="42"/>
      <c r="H434" s="91"/>
      <c r="I434" s="44"/>
    </row>
    <row r="435" spans="1:9" x14ac:dyDescent="0.3">
      <c r="A435" s="66" t="s">
        <v>531</v>
      </c>
      <c r="B435" s="67" t="s">
        <v>5</v>
      </c>
      <c r="C435" s="68" t="s">
        <v>532</v>
      </c>
      <c r="D435" s="33">
        <f t="shared" ref="D435:I435" si="105">D454</f>
        <v>1</v>
      </c>
      <c r="E435" s="34">
        <f t="shared" si="105"/>
        <v>145825.24</v>
      </c>
      <c r="F435" s="35">
        <f t="shared" si="105"/>
        <v>145825.24</v>
      </c>
      <c r="G435" s="33">
        <f t="shared" si="105"/>
        <v>1</v>
      </c>
      <c r="H435" s="93">
        <f t="shared" si="105"/>
        <v>50000</v>
      </c>
      <c r="I435" s="35">
        <f t="shared" si="105"/>
        <v>50000</v>
      </c>
    </row>
    <row r="436" spans="1:9" x14ac:dyDescent="0.3">
      <c r="A436" s="76" t="s">
        <v>533</v>
      </c>
      <c r="B436" s="77" t="s">
        <v>5</v>
      </c>
      <c r="C436" s="78" t="s">
        <v>534</v>
      </c>
      <c r="D436" s="45">
        <f t="shared" ref="D436:I436" si="106">D443</f>
        <v>1</v>
      </c>
      <c r="E436" s="46">
        <f t="shared" si="106"/>
        <v>62146.44</v>
      </c>
      <c r="F436" s="47">
        <f t="shared" si="106"/>
        <v>62146.44</v>
      </c>
      <c r="G436" s="45">
        <f t="shared" si="106"/>
        <v>1</v>
      </c>
      <c r="H436" s="94">
        <f t="shared" si="106"/>
        <v>0</v>
      </c>
      <c r="I436" s="47">
        <f t="shared" si="106"/>
        <v>0</v>
      </c>
    </row>
    <row r="437" spans="1:9" x14ac:dyDescent="0.3">
      <c r="A437" s="69" t="s">
        <v>535</v>
      </c>
      <c r="B437" s="70" t="s">
        <v>35</v>
      </c>
      <c r="C437" s="71" t="s">
        <v>536</v>
      </c>
      <c r="D437" s="36">
        <v>50</v>
      </c>
      <c r="E437" s="37">
        <f>1.06*7.69</f>
        <v>8.15</v>
      </c>
      <c r="F437" s="38">
        <f t="shared" ref="F437:F443" si="107">ROUND(D437*E437,2)</f>
        <v>407.5</v>
      </c>
      <c r="G437" s="36">
        <v>50</v>
      </c>
      <c r="H437" s="91"/>
      <c r="I437" s="38">
        <f t="shared" ref="I437:I443" si="108">ROUND(G437*H437,2)</f>
        <v>0</v>
      </c>
    </row>
    <row r="438" spans="1:9" x14ac:dyDescent="0.3">
      <c r="A438" s="69" t="s">
        <v>537</v>
      </c>
      <c r="B438" s="70" t="s">
        <v>100</v>
      </c>
      <c r="C438" s="71" t="s">
        <v>538</v>
      </c>
      <c r="D438" s="36">
        <v>300</v>
      </c>
      <c r="E438" s="37">
        <f>1.06*18.36</f>
        <v>19.46</v>
      </c>
      <c r="F438" s="38">
        <f t="shared" si="107"/>
        <v>5838</v>
      </c>
      <c r="G438" s="36">
        <v>300</v>
      </c>
      <c r="H438" s="91"/>
      <c r="I438" s="38">
        <f t="shared" si="108"/>
        <v>0</v>
      </c>
    </row>
    <row r="439" spans="1:9" x14ac:dyDescent="0.3">
      <c r="A439" s="69" t="s">
        <v>539</v>
      </c>
      <c r="B439" s="70" t="s">
        <v>103</v>
      </c>
      <c r="C439" s="71" t="s">
        <v>540</v>
      </c>
      <c r="D439" s="36">
        <v>940</v>
      </c>
      <c r="E439" s="37">
        <f>1.06*42.36</f>
        <v>44.9</v>
      </c>
      <c r="F439" s="38">
        <f t="shared" si="107"/>
        <v>42206</v>
      </c>
      <c r="G439" s="36">
        <v>940</v>
      </c>
      <c r="H439" s="91"/>
      <c r="I439" s="38">
        <f t="shared" si="108"/>
        <v>0</v>
      </c>
    </row>
    <row r="440" spans="1:9" ht="20.399999999999999" x14ac:dyDescent="0.3">
      <c r="A440" s="69" t="s">
        <v>541</v>
      </c>
      <c r="B440" s="70" t="s">
        <v>103</v>
      </c>
      <c r="C440" s="71" t="s">
        <v>542</v>
      </c>
      <c r="D440" s="36">
        <v>72</v>
      </c>
      <c r="E440" s="37">
        <f>1.06*100.3</f>
        <v>106.32</v>
      </c>
      <c r="F440" s="38">
        <f t="shared" si="107"/>
        <v>7655.04</v>
      </c>
      <c r="G440" s="36">
        <v>72</v>
      </c>
      <c r="H440" s="91"/>
      <c r="I440" s="38">
        <f t="shared" si="108"/>
        <v>0</v>
      </c>
    </row>
    <row r="441" spans="1:9" x14ac:dyDescent="0.3">
      <c r="A441" s="69" t="s">
        <v>543</v>
      </c>
      <c r="B441" s="70" t="s">
        <v>100</v>
      </c>
      <c r="C441" s="71" t="s">
        <v>544</v>
      </c>
      <c r="D441" s="36">
        <v>200</v>
      </c>
      <c r="E441" s="37">
        <f>1.06*3.25</f>
        <v>3.45</v>
      </c>
      <c r="F441" s="38">
        <f t="shared" si="107"/>
        <v>690</v>
      </c>
      <c r="G441" s="36">
        <v>200</v>
      </c>
      <c r="H441" s="91"/>
      <c r="I441" s="38">
        <f t="shared" si="108"/>
        <v>0</v>
      </c>
    </row>
    <row r="442" spans="1:9" ht="20.399999999999999" x14ac:dyDescent="0.3">
      <c r="A442" s="69" t="s">
        <v>545</v>
      </c>
      <c r="B442" s="70" t="s">
        <v>103</v>
      </c>
      <c r="C442" s="71" t="s">
        <v>546</v>
      </c>
      <c r="D442" s="36">
        <v>30</v>
      </c>
      <c r="E442" s="37">
        <f>1.06*168.24</f>
        <v>178.33</v>
      </c>
      <c r="F442" s="38">
        <f t="shared" si="107"/>
        <v>5349.9</v>
      </c>
      <c r="G442" s="36">
        <v>30</v>
      </c>
      <c r="H442" s="91"/>
      <c r="I442" s="38">
        <f t="shared" si="108"/>
        <v>0</v>
      </c>
    </row>
    <row r="443" spans="1:9" x14ac:dyDescent="0.3">
      <c r="A443" s="72"/>
      <c r="B443" s="73"/>
      <c r="C443" s="74" t="s">
        <v>547</v>
      </c>
      <c r="D443" s="36">
        <v>1</v>
      </c>
      <c r="E443" s="40">
        <f>SUM(F437:F442)</f>
        <v>62146.44</v>
      </c>
      <c r="F443" s="41">
        <f t="shared" si="107"/>
        <v>62146.44</v>
      </c>
      <c r="G443" s="36">
        <v>1</v>
      </c>
      <c r="H443" s="92">
        <f>SUM(I437:I442)</f>
        <v>0</v>
      </c>
      <c r="I443" s="41">
        <f t="shared" si="108"/>
        <v>0</v>
      </c>
    </row>
    <row r="444" spans="1:9" ht="1.05" customHeight="1" x14ac:dyDescent="0.3">
      <c r="A444" s="42"/>
      <c r="B444" s="43"/>
      <c r="C444" s="75"/>
      <c r="D444" s="42"/>
      <c r="E444" s="43"/>
      <c r="F444" s="44"/>
      <c r="G444" s="42"/>
      <c r="H444" s="91"/>
      <c r="I444" s="44"/>
    </row>
    <row r="445" spans="1:9" ht="20.399999999999999" x14ac:dyDescent="0.3">
      <c r="A445" s="76" t="s">
        <v>548</v>
      </c>
      <c r="B445" s="77" t="s">
        <v>5</v>
      </c>
      <c r="C445" s="78" t="s">
        <v>549</v>
      </c>
      <c r="D445" s="45">
        <f t="shared" ref="D445:I445" si="109">D452</f>
        <v>1</v>
      </c>
      <c r="E445" s="46">
        <f t="shared" si="109"/>
        <v>83678.8</v>
      </c>
      <c r="F445" s="47">
        <f t="shared" si="109"/>
        <v>83678.8</v>
      </c>
      <c r="G445" s="45">
        <f t="shared" si="109"/>
        <v>1</v>
      </c>
      <c r="H445" s="94">
        <f t="shared" si="109"/>
        <v>50000</v>
      </c>
      <c r="I445" s="47">
        <f t="shared" si="109"/>
        <v>50000</v>
      </c>
    </row>
    <row r="446" spans="1:9" ht="30.6" x14ac:dyDescent="0.3">
      <c r="A446" s="69" t="s">
        <v>550</v>
      </c>
      <c r="B446" s="70" t="s">
        <v>21</v>
      </c>
      <c r="C446" s="71" t="s">
        <v>551</v>
      </c>
      <c r="D446" s="36">
        <v>30</v>
      </c>
      <c r="E446" s="37">
        <f>1.06*128.69</f>
        <v>136.41</v>
      </c>
      <c r="F446" s="38">
        <f t="shared" ref="F446:F452" si="110">ROUND(D446*E446,2)</f>
        <v>4092.3</v>
      </c>
      <c r="G446" s="36">
        <v>30</v>
      </c>
      <c r="H446" s="91"/>
      <c r="I446" s="38">
        <f t="shared" ref="I446:I452" si="111">ROUND(G446*H446,2)</f>
        <v>0</v>
      </c>
    </row>
    <row r="447" spans="1:9" x14ac:dyDescent="0.3">
      <c r="A447" s="69" t="s">
        <v>552</v>
      </c>
      <c r="B447" s="70" t="s">
        <v>21</v>
      </c>
      <c r="C447" s="71" t="s">
        <v>553</v>
      </c>
      <c r="D447" s="36">
        <v>940</v>
      </c>
      <c r="E447" s="37">
        <f>1.06*21.31</f>
        <v>22.59</v>
      </c>
      <c r="F447" s="38">
        <f t="shared" si="110"/>
        <v>21234.6</v>
      </c>
      <c r="G447" s="36">
        <v>940</v>
      </c>
      <c r="H447" s="91"/>
      <c r="I447" s="38">
        <f t="shared" si="111"/>
        <v>0</v>
      </c>
    </row>
    <row r="448" spans="1:9" x14ac:dyDescent="0.3">
      <c r="A448" s="69" t="s">
        <v>554</v>
      </c>
      <c r="B448" s="70" t="s">
        <v>145</v>
      </c>
      <c r="C448" s="71" t="s">
        <v>555</v>
      </c>
      <c r="D448" s="36">
        <v>300</v>
      </c>
      <c r="E448" s="37">
        <f>1.06*20.3</f>
        <v>21.52</v>
      </c>
      <c r="F448" s="38">
        <f t="shared" si="110"/>
        <v>6456</v>
      </c>
      <c r="G448" s="36">
        <v>300</v>
      </c>
      <c r="H448" s="91"/>
      <c r="I448" s="38">
        <f t="shared" si="111"/>
        <v>0</v>
      </c>
    </row>
    <row r="449" spans="1:10" x14ac:dyDescent="0.3">
      <c r="A449" s="69" t="s">
        <v>556</v>
      </c>
      <c r="B449" s="70" t="s">
        <v>11</v>
      </c>
      <c r="C449" s="71" t="s">
        <v>557</v>
      </c>
      <c r="D449" s="36">
        <v>50</v>
      </c>
      <c r="E449" s="37">
        <f>1.06*3.58</f>
        <v>3.79</v>
      </c>
      <c r="F449" s="38">
        <f t="shared" si="110"/>
        <v>189.5</v>
      </c>
      <c r="G449" s="36">
        <v>50</v>
      </c>
      <c r="H449" s="91"/>
      <c r="I449" s="38">
        <f t="shared" si="111"/>
        <v>0</v>
      </c>
    </row>
    <row r="450" spans="1:10" x14ac:dyDescent="0.3">
      <c r="A450" s="69" t="s">
        <v>558</v>
      </c>
      <c r="B450" s="70" t="s">
        <v>21</v>
      </c>
      <c r="C450" s="71" t="s">
        <v>559</v>
      </c>
      <c r="D450" s="36">
        <v>72</v>
      </c>
      <c r="E450" s="37">
        <f>1.06*22.36</f>
        <v>23.7</v>
      </c>
      <c r="F450" s="38">
        <f t="shared" si="110"/>
        <v>1706.4</v>
      </c>
      <c r="G450" s="36">
        <v>72</v>
      </c>
      <c r="H450" s="91"/>
      <c r="I450" s="38">
        <f t="shared" si="111"/>
        <v>0</v>
      </c>
    </row>
    <row r="451" spans="1:10" x14ac:dyDescent="0.3">
      <c r="A451" s="69" t="s">
        <v>560</v>
      </c>
      <c r="B451" s="70" t="s">
        <v>48</v>
      </c>
      <c r="C451" s="71" t="s">
        <v>561</v>
      </c>
      <c r="D451" s="36">
        <v>1</v>
      </c>
      <c r="E451" s="37">
        <f>1.06*47169.81</f>
        <v>50000</v>
      </c>
      <c r="F451" s="38">
        <f t="shared" si="110"/>
        <v>50000</v>
      </c>
      <c r="G451" s="36">
        <v>1</v>
      </c>
      <c r="H451" s="95">
        <f>1.06*47169.81</f>
        <v>50000</v>
      </c>
      <c r="I451" s="38">
        <f t="shared" si="111"/>
        <v>50000</v>
      </c>
      <c r="J451" s="1"/>
    </row>
    <row r="452" spans="1:10" x14ac:dyDescent="0.3">
      <c r="A452" s="72"/>
      <c r="B452" s="73"/>
      <c r="C452" s="74" t="s">
        <v>562</v>
      </c>
      <c r="D452" s="36">
        <v>1</v>
      </c>
      <c r="E452" s="40">
        <f>SUM(F446:F451)</f>
        <v>83678.8</v>
      </c>
      <c r="F452" s="41">
        <f t="shared" si="110"/>
        <v>83678.8</v>
      </c>
      <c r="G452" s="36">
        <v>1</v>
      </c>
      <c r="H452" s="92">
        <f>SUM(I446:I451)</f>
        <v>50000</v>
      </c>
      <c r="I452" s="41">
        <f t="shared" si="111"/>
        <v>50000</v>
      </c>
    </row>
    <row r="453" spans="1:10" ht="1.05" customHeight="1" x14ac:dyDescent="0.3">
      <c r="A453" s="42"/>
      <c r="B453" s="43"/>
      <c r="C453" s="75"/>
      <c r="D453" s="42"/>
      <c r="E453" s="43"/>
      <c r="F453" s="44"/>
      <c r="G453" s="42"/>
      <c r="H453" s="91"/>
      <c r="I453" s="44"/>
    </row>
    <row r="454" spans="1:10" x14ac:dyDescent="0.3">
      <c r="A454" s="72"/>
      <c r="B454" s="73"/>
      <c r="C454" s="74" t="s">
        <v>563</v>
      </c>
      <c r="D454" s="39">
        <v>1</v>
      </c>
      <c r="E454" s="40">
        <f>F436+F445</f>
        <v>145825.24</v>
      </c>
      <c r="F454" s="41">
        <f>ROUND(D454*E454,2)</f>
        <v>145825.24</v>
      </c>
      <c r="G454" s="39">
        <v>1</v>
      </c>
      <c r="H454" s="92">
        <f>I436+I445</f>
        <v>50000</v>
      </c>
      <c r="I454" s="41">
        <f>ROUND(G454*H454,2)</f>
        <v>50000</v>
      </c>
      <c r="J454" s="1"/>
    </row>
    <row r="455" spans="1:10" ht="1.05" customHeight="1" x14ac:dyDescent="0.3">
      <c r="A455" s="42"/>
      <c r="B455" s="43"/>
      <c r="C455" s="75"/>
      <c r="D455" s="42"/>
      <c r="E455" s="43"/>
      <c r="F455" s="44"/>
      <c r="G455" s="42"/>
      <c r="H455" s="91"/>
      <c r="I455" s="44"/>
    </row>
    <row r="456" spans="1:10" x14ac:dyDescent="0.3">
      <c r="A456" s="66" t="s">
        <v>564</v>
      </c>
      <c r="B456" s="67" t="s">
        <v>5</v>
      </c>
      <c r="C456" s="68" t="s">
        <v>565</v>
      </c>
      <c r="D456" s="33">
        <f t="shared" ref="D456:I456" si="112">D461</f>
        <v>1</v>
      </c>
      <c r="E456" s="34">
        <f t="shared" si="112"/>
        <v>334212.71000000002</v>
      </c>
      <c r="F456" s="35">
        <f t="shared" si="112"/>
        <v>334212.71000000002</v>
      </c>
      <c r="G456" s="33">
        <f t="shared" si="112"/>
        <v>1</v>
      </c>
      <c r="H456" s="93">
        <f t="shared" si="112"/>
        <v>-22851.4</v>
      </c>
      <c r="I456" s="35">
        <f t="shared" si="112"/>
        <v>-22851.4</v>
      </c>
    </row>
    <row r="457" spans="1:10" x14ac:dyDescent="0.3">
      <c r="A457" s="69" t="s">
        <v>566</v>
      </c>
      <c r="B457" s="70" t="s">
        <v>35</v>
      </c>
      <c r="C457" s="71" t="s">
        <v>567</v>
      </c>
      <c r="D457" s="36">
        <v>1552</v>
      </c>
      <c r="E457" s="37">
        <f>1.06*84.86</f>
        <v>89.95</v>
      </c>
      <c r="F457" s="38">
        <f>ROUND(D457*E457,2)</f>
        <v>139602.4</v>
      </c>
      <c r="G457" s="36">
        <v>1552</v>
      </c>
      <c r="H457" s="91"/>
      <c r="I457" s="38">
        <f>ROUND(G457*H457,2)</f>
        <v>0</v>
      </c>
    </row>
    <row r="458" spans="1:10" x14ac:dyDescent="0.3">
      <c r="A458" s="69" t="s">
        <v>568</v>
      </c>
      <c r="B458" s="70" t="s">
        <v>569</v>
      </c>
      <c r="C458" s="71" t="s">
        <v>570</v>
      </c>
      <c r="D458" s="36">
        <v>15544.48</v>
      </c>
      <c r="E458" s="37">
        <f>1.06*12.6</f>
        <v>13.36</v>
      </c>
      <c r="F458" s="38">
        <f>ROUND(D458*E458,2)</f>
        <v>207674.25</v>
      </c>
      <c r="G458" s="36">
        <v>15544.48</v>
      </c>
      <c r="H458" s="91"/>
      <c r="I458" s="38">
        <f>ROUND(G458*H458,2)</f>
        <v>0</v>
      </c>
    </row>
    <row r="459" spans="1:10" ht="20.399999999999999" x14ac:dyDescent="0.3">
      <c r="A459" s="69" t="s">
        <v>571</v>
      </c>
      <c r="B459" s="70" t="s">
        <v>8</v>
      </c>
      <c r="C459" s="71" t="s">
        <v>572</v>
      </c>
      <c r="D459" s="36">
        <v>4274</v>
      </c>
      <c r="E459" s="37">
        <f>1.06*2.16</f>
        <v>2.29</v>
      </c>
      <c r="F459" s="38">
        <f>ROUND(D459*E459,2)</f>
        <v>9787.4599999999991</v>
      </c>
      <c r="G459" s="36">
        <v>4274</v>
      </c>
      <c r="H459" s="91"/>
      <c r="I459" s="38">
        <f>ROUND(G459*H459,2)</f>
        <v>0</v>
      </c>
    </row>
    <row r="460" spans="1:10" x14ac:dyDescent="0.3">
      <c r="A460" s="69" t="s">
        <v>573</v>
      </c>
      <c r="B460" s="70" t="s">
        <v>569</v>
      </c>
      <c r="C460" s="71" t="s">
        <v>574</v>
      </c>
      <c r="D460" s="36">
        <v>219.03</v>
      </c>
      <c r="E460" s="37">
        <f>1.06*-98.42</f>
        <v>-104.33</v>
      </c>
      <c r="F460" s="38">
        <f>ROUND(D460*E460,2)</f>
        <v>-22851.4</v>
      </c>
      <c r="G460" s="36">
        <v>219.03</v>
      </c>
      <c r="H460" s="95">
        <f>1.06*-98.42</f>
        <v>-104.33</v>
      </c>
      <c r="I460" s="38">
        <f>ROUND(G460*H460,2)</f>
        <v>-22851.4</v>
      </c>
    </row>
    <row r="461" spans="1:10" x14ac:dyDescent="0.3">
      <c r="A461" s="72"/>
      <c r="B461" s="73"/>
      <c r="C461" s="74" t="s">
        <v>575</v>
      </c>
      <c r="D461" s="39">
        <v>1</v>
      </c>
      <c r="E461" s="40">
        <f>SUM(F457:F460)</f>
        <v>334212.71000000002</v>
      </c>
      <c r="F461" s="41">
        <f>ROUND(D461*E461,2)</f>
        <v>334212.71000000002</v>
      </c>
      <c r="G461" s="39">
        <v>1</v>
      </c>
      <c r="H461" s="92">
        <f>SUM(I457:I460)</f>
        <v>-22851.4</v>
      </c>
      <c r="I461" s="41">
        <f>ROUND(G461*H461,2)</f>
        <v>-22851.4</v>
      </c>
    </row>
    <row r="462" spans="1:10" ht="1.05" customHeight="1" x14ac:dyDescent="0.3">
      <c r="A462" s="42"/>
      <c r="B462" s="43"/>
      <c r="C462" s="75"/>
      <c r="D462" s="42"/>
      <c r="E462" s="43"/>
      <c r="F462" s="44"/>
      <c r="G462" s="42"/>
      <c r="H462" s="101"/>
      <c r="I462" s="44"/>
    </row>
    <row r="463" spans="1:10" x14ac:dyDescent="0.3">
      <c r="A463" s="66" t="s">
        <v>576</v>
      </c>
      <c r="B463" s="67" t="s">
        <v>5</v>
      </c>
      <c r="C463" s="68" t="s">
        <v>577</v>
      </c>
      <c r="D463" s="60">
        <v>1</v>
      </c>
      <c r="E463" s="61">
        <v>105492.52</v>
      </c>
      <c r="F463" s="35">
        <f>ROUND(D463*E463,2)</f>
        <v>105492.52</v>
      </c>
      <c r="G463" s="60">
        <v>1</v>
      </c>
      <c r="H463" s="104"/>
      <c r="I463" s="35">
        <f>ROUND(G463*H463,2)</f>
        <v>0</v>
      </c>
    </row>
    <row r="464" spans="1:10" ht="15" thickBot="1" x14ac:dyDescent="0.35">
      <c r="A464" s="88"/>
      <c r="B464" s="89"/>
      <c r="C464" s="90" t="s">
        <v>578</v>
      </c>
      <c r="D464" s="62">
        <v>1</v>
      </c>
      <c r="E464" s="63">
        <f>F4+F10+F32+F82+F91+F243+F435+F456+F463</f>
        <v>3790722.4</v>
      </c>
      <c r="F464" s="64">
        <f>ROUND(D464*E464,2)</f>
        <v>3790722.4</v>
      </c>
      <c r="G464" s="62">
        <v>1</v>
      </c>
      <c r="H464" s="100">
        <f>I4+I10+I32+I82+I91+I243+I435+I456+I463</f>
        <v>166240.1</v>
      </c>
      <c r="I464" s="64">
        <f>ROUND(G464*H464,2)</f>
        <v>166240.1</v>
      </c>
    </row>
    <row r="465" spans="1:9" ht="1.05" customHeight="1" thickBot="1" x14ac:dyDescent="0.35">
      <c r="A465" s="4"/>
      <c r="B465" s="4"/>
      <c r="C465" s="5"/>
      <c r="D465" s="4"/>
      <c r="E465" s="4"/>
      <c r="F465" s="4"/>
      <c r="G465" s="4"/>
      <c r="H465" s="4"/>
      <c r="I465" s="4"/>
    </row>
    <row r="466" spans="1:9" ht="28.2" thickBot="1" x14ac:dyDescent="0.35">
      <c r="A466" s="30"/>
      <c r="B466" s="30"/>
      <c r="C466" s="20" t="s">
        <v>584</v>
      </c>
      <c r="D466" s="8">
        <v>1</v>
      </c>
      <c r="E466" s="9"/>
      <c r="F466" s="10">
        <f>F464</f>
        <v>3790722.4</v>
      </c>
      <c r="G466" s="8">
        <v>1</v>
      </c>
      <c r="H466" s="9"/>
      <c r="I466" s="10">
        <f>I464</f>
        <v>166240.1</v>
      </c>
    </row>
    <row r="467" spans="1:9" x14ac:dyDescent="0.3">
      <c r="A467" s="30"/>
      <c r="B467" s="30"/>
      <c r="C467" s="21" t="s">
        <v>585</v>
      </c>
      <c r="D467" s="11">
        <v>1</v>
      </c>
      <c r="E467" s="12" t="s">
        <v>586</v>
      </c>
      <c r="F467" s="13">
        <f>0.13*F466</f>
        <v>492793.91</v>
      </c>
      <c r="G467" s="11">
        <v>1</v>
      </c>
      <c r="H467" s="31">
        <v>0.13</v>
      </c>
      <c r="I467" s="13">
        <f>0.13*I466</f>
        <v>21611.21</v>
      </c>
    </row>
    <row r="468" spans="1:9" ht="15" thickBot="1" x14ac:dyDescent="0.35">
      <c r="A468" s="30"/>
      <c r="B468" s="30"/>
      <c r="C468" s="22" t="s">
        <v>587</v>
      </c>
      <c r="D468" s="14">
        <v>1</v>
      </c>
      <c r="E468" s="15" t="s">
        <v>588</v>
      </c>
      <c r="F468" s="16">
        <f>0.06*F466</f>
        <v>227443.34</v>
      </c>
      <c r="G468" s="14">
        <v>1</v>
      </c>
      <c r="H468" s="103">
        <v>0.06</v>
      </c>
      <c r="I468" s="16">
        <f>0.06*I464</f>
        <v>9974.41</v>
      </c>
    </row>
    <row r="469" spans="1:9" ht="15" thickBot="1" x14ac:dyDescent="0.35">
      <c r="A469" s="30"/>
      <c r="B469" s="30"/>
      <c r="C469" s="23" t="s">
        <v>582</v>
      </c>
      <c r="D469" s="24">
        <v>1</v>
      </c>
      <c r="E469" s="25"/>
      <c r="F469" s="26">
        <f>F468+F467+F466</f>
        <v>4510959.6500000004</v>
      </c>
      <c r="G469" s="24">
        <v>1</v>
      </c>
      <c r="H469" s="27"/>
      <c r="I469" s="26">
        <f>I468+I467+I466</f>
        <v>197825.72</v>
      </c>
    </row>
    <row r="470" spans="1:9" ht="15" thickBot="1" x14ac:dyDescent="0.35">
      <c r="A470" s="30"/>
      <c r="B470" s="30"/>
      <c r="C470" s="23" t="s">
        <v>589</v>
      </c>
      <c r="D470" s="17">
        <v>1</v>
      </c>
      <c r="E470" s="27" t="s">
        <v>590</v>
      </c>
      <c r="F470" s="26">
        <f>0.21*F469</f>
        <v>947301.53</v>
      </c>
      <c r="G470" s="24">
        <v>1</v>
      </c>
      <c r="H470" s="29">
        <v>0.21</v>
      </c>
      <c r="I470" s="26">
        <f>0.21*I469</f>
        <v>41543.4</v>
      </c>
    </row>
    <row r="471" spans="1:9" ht="15" thickBot="1" x14ac:dyDescent="0.35">
      <c r="A471" s="30"/>
      <c r="B471" s="30"/>
      <c r="C471" s="28" t="s">
        <v>591</v>
      </c>
      <c r="D471" s="17">
        <v>1</v>
      </c>
      <c r="E471" s="27"/>
      <c r="F471" s="26">
        <f>F470+F469</f>
        <v>5458261.1799999997</v>
      </c>
      <c r="G471" s="24"/>
      <c r="H471" s="29"/>
      <c r="I471" s="26">
        <f>I470+I469</f>
        <v>239369.12</v>
      </c>
    </row>
    <row r="472" spans="1:9" ht="45" customHeight="1" thickBot="1" x14ac:dyDescent="0.35">
      <c r="A472" s="121" t="s">
        <v>592</v>
      </c>
      <c r="B472" s="122"/>
      <c r="C472" s="123"/>
      <c r="D472" s="124"/>
      <c r="E472" s="19" t="s">
        <v>593</v>
      </c>
      <c r="F472" s="125"/>
      <c r="G472" s="129"/>
      <c r="H472" s="129"/>
      <c r="I472" s="126"/>
    </row>
    <row r="473" spans="1:9" ht="45" customHeight="1" thickBot="1" x14ac:dyDescent="0.35">
      <c r="A473" s="121" t="s">
        <v>594</v>
      </c>
      <c r="B473" s="122"/>
      <c r="C473" s="125"/>
      <c r="D473" s="126"/>
      <c r="E473" s="18" t="s">
        <v>595</v>
      </c>
      <c r="F473" s="125"/>
      <c r="G473" s="129"/>
      <c r="H473" s="129"/>
      <c r="I473" s="126"/>
    </row>
    <row r="474" spans="1:9" ht="45" customHeight="1" thickBot="1" x14ac:dyDescent="0.35">
      <c r="A474" s="121" t="s">
        <v>596</v>
      </c>
      <c r="B474" s="122"/>
      <c r="C474" s="125"/>
      <c r="D474" s="126"/>
      <c r="E474" s="18" t="s">
        <v>597</v>
      </c>
      <c r="F474" s="125"/>
      <c r="G474" s="129"/>
      <c r="H474" s="129"/>
      <c r="I474" s="126"/>
    </row>
    <row r="475" spans="1:9" ht="26.4" customHeight="1" x14ac:dyDescent="0.3">
      <c r="A475" s="115" t="s">
        <v>598</v>
      </c>
      <c r="B475" s="116"/>
      <c r="C475" s="130" t="s">
        <v>599</v>
      </c>
      <c r="D475" s="130"/>
      <c r="E475" s="130"/>
      <c r="F475" s="130"/>
      <c r="G475" s="130"/>
      <c r="H475" s="130"/>
      <c r="I475" s="131"/>
    </row>
    <row r="476" spans="1:9" ht="24.6" customHeight="1" x14ac:dyDescent="0.3">
      <c r="A476" s="117"/>
      <c r="B476" s="118"/>
      <c r="C476" s="105" t="s">
        <v>600</v>
      </c>
      <c r="D476" s="105"/>
      <c r="E476" s="105"/>
      <c r="F476" s="105"/>
      <c r="G476" s="105"/>
      <c r="H476" s="105"/>
      <c r="I476" s="106"/>
    </row>
    <row r="477" spans="1:9" ht="24.6" customHeight="1" x14ac:dyDescent="0.3">
      <c r="A477" s="117"/>
      <c r="B477" s="118"/>
      <c r="C477" s="105" t="s">
        <v>601</v>
      </c>
      <c r="D477" s="105"/>
      <c r="E477" s="105"/>
      <c r="F477" s="105"/>
      <c r="G477" s="105"/>
      <c r="H477" s="105"/>
      <c r="I477" s="106"/>
    </row>
    <row r="478" spans="1:9" ht="45" customHeight="1" thickBot="1" x14ac:dyDescent="0.35">
      <c r="A478" s="119"/>
      <c r="B478" s="120"/>
      <c r="C478" s="127" t="s">
        <v>602</v>
      </c>
      <c r="D478" s="127"/>
      <c r="E478" s="127"/>
      <c r="F478" s="127"/>
      <c r="G478" s="127"/>
      <c r="H478" s="127"/>
      <c r="I478" s="128"/>
    </row>
  </sheetData>
  <sheetProtection password="CC08" sheet="1" objects="1" scenarios="1" selectLockedCells="1"/>
  <mergeCells count="17">
    <mergeCell ref="C475:I475"/>
    <mergeCell ref="C476:I476"/>
    <mergeCell ref="D2:F2"/>
    <mergeCell ref="G2:I2"/>
    <mergeCell ref="A1:I1"/>
    <mergeCell ref="A475:B478"/>
    <mergeCell ref="A474:B474"/>
    <mergeCell ref="A472:B472"/>
    <mergeCell ref="A473:B473"/>
    <mergeCell ref="C472:D472"/>
    <mergeCell ref="C473:D473"/>
    <mergeCell ref="C474:D474"/>
    <mergeCell ref="C477:I477"/>
    <mergeCell ref="C478:I478"/>
    <mergeCell ref="F472:I472"/>
    <mergeCell ref="F473:I473"/>
    <mergeCell ref="F474:I474"/>
  </mergeCells>
  <conditionalFormatting sqref="E6">
    <cfRule type="cellIs" dxfId="4" priority="12" operator="greaterThan">
      <formula>$E$5</formula>
    </cfRule>
  </conditionalFormatting>
  <conditionalFormatting sqref="E7">
    <cfRule type="cellIs" dxfId="3" priority="11" operator="greaterThan">
      <formula>$E$5</formula>
    </cfRule>
  </conditionalFormatting>
  <conditionalFormatting sqref="H463">
    <cfRule type="cellIs" dxfId="2" priority="1" operator="lessThan">
      <formula>$E$463</formula>
    </cfRule>
    <cfRule type="cellIs" dxfId="1" priority="5" operator="lessThan">
      <formula>$E$463</formula>
    </cfRule>
  </conditionalFormatting>
  <conditionalFormatting sqref="H5:H7 H9 H12:H14 H16 H18:H21 H23 H25:H26 H28 H31 H45:H46 H48 H50:H53 H55 H57 H59 H61 H63:H69 H72 H74:H77 H79 H81 H83:H87 H90 H93:H95 H97 H111 H115:H120 H122 H124:H129 H131 H133:H142 H144 H146:H149 H151 H153:H162 H164 H166 H169:H170 H172:H179 H181 H183:H186 H188 H190:H197 H199 H201 H203:H204 H206:H213 H215 H217:H220 H222 H224:H231 H233 H235 H237 H240 H242 H245:H255 H257 H260:H263 H265 H267:H291 H293 H295 H298:H302 H304 H306:H316 H318 H320:H324 H326 H328:H337 H339 H341 H345:H346 H348 H350:H352 H354 H356 H358 H360 H362 H364 H366 H368:H371 H373 H375 H378:H382 H384 H386:H390 H392 H394:H398 H400 H402:H406 H408 H410:H414 H416 H418 H421:H422 H424 H426 H428 H430 H432 H434 H437:H442 H444 H446:H450 H453 H455 H457:H459 H99:H108 H35:H43">
    <cfRule type="cellIs" dxfId="0" priority="2" operator="greaterThan">
      <formula>E5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Pérez Monje, David</dc:creator>
  <cp:lastModifiedBy>Pérez Monje, David</cp:lastModifiedBy>
  <dcterms:created xsi:type="dcterms:W3CDTF">2021-01-22T11:07:51Z</dcterms:created>
  <dcterms:modified xsi:type="dcterms:W3CDTF">2021-10-13T08:36:57Z</dcterms:modified>
</cp:coreProperties>
</file>