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Z:\01. Actividades DE\00 Proyectos\IO_19-020E_Remodelacion N. Balboa\230120_SoloModerniz\PPT Y EXCEL\"/>
    </mc:Choice>
  </mc:AlternateContent>
  <xr:revisionPtr revIDLastSave="0" documentId="13_ncr:1_{A58D244D-741A-4E20-8990-5E6445883B47}" xr6:coauthVersionLast="47" xr6:coauthVersionMax="47" xr10:uidLastSave="{00000000-0000-0000-0000-000000000000}"/>
  <bookViews>
    <workbookView xWindow="-108" yWindow="-108" windowWidth="23256" windowHeight="12576" xr2:uid="{70E1ADA6-B809-48A1-AA05-AE55110A5A50}"/>
  </bookViews>
  <sheets>
    <sheet name="Hoja1" sheetId="1" r:id="rId1"/>
  </sheets>
  <calcPr calcId="191029" fullPrecision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6" i="1" l="1"/>
  <c r="F6" i="1"/>
  <c r="F90" i="1"/>
  <c r="H25" i="1"/>
  <c r="H27" i="1"/>
  <c r="H29" i="1"/>
  <c r="H31" i="1"/>
  <c r="H33" i="1"/>
  <c r="H35" i="1"/>
  <c r="H37" i="1"/>
  <c r="H41" i="1"/>
  <c r="H43" i="1"/>
  <c r="H45" i="1"/>
  <c r="H49" i="1"/>
  <c r="H53" i="1"/>
  <c r="H55" i="1"/>
  <c r="H57" i="1"/>
  <c r="H59" i="1"/>
  <c r="H61" i="1"/>
  <c r="H63" i="1"/>
  <c r="H65" i="1"/>
  <c r="H67" i="1"/>
  <c r="H69" i="1"/>
  <c r="H71" i="1"/>
  <c r="H73" i="1"/>
  <c r="H75" i="1"/>
  <c r="H77" i="1"/>
  <c r="H81" i="1"/>
  <c r="H83" i="1"/>
  <c r="H85" i="1"/>
  <c r="H87" i="1"/>
  <c r="H89" i="1"/>
  <c r="H91" i="1"/>
  <c r="H92" i="1"/>
  <c r="H95" i="1"/>
  <c r="H96" i="1"/>
  <c r="H101" i="1"/>
  <c r="H104" i="1"/>
  <c r="H106" i="1"/>
  <c r="H107" i="1"/>
  <c r="H108" i="1"/>
  <c r="H109" i="1"/>
  <c r="H112" i="1"/>
  <c r="H116" i="1"/>
  <c r="H118" i="1"/>
  <c r="H119" i="1"/>
  <c r="H120" i="1"/>
  <c r="H124" i="1"/>
  <c r="H125" i="1"/>
  <c r="H126" i="1"/>
  <c r="H130" i="1"/>
  <c r="H131" i="1"/>
  <c r="H135" i="1"/>
  <c r="H134" i="1" s="1"/>
  <c r="H129" i="1"/>
  <c r="H123" i="1"/>
  <c r="H115" i="1"/>
  <c r="H103" i="1"/>
  <c r="H47" i="1"/>
  <c r="H110" i="1"/>
  <c r="H102" i="1"/>
  <c r="H52" i="1"/>
  <c r="H48" i="1"/>
  <c r="H46" i="1"/>
  <c r="H44" i="1"/>
  <c r="H42" i="1"/>
  <c r="H21" i="1"/>
  <c r="H20" i="1"/>
  <c r="H19" i="1"/>
  <c r="H15" i="1"/>
  <c r="H13" i="1"/>
  <c r="H11" i="1"/>
  <c r="H7" i="1"/>
  <c r="F135" i="1"/>
  <c r="F132" i="1"/>
  <c r="F131" i="1"/>
  <c r="F130" i="1"/>
  <c r="F129" i="1"/>
  <c r="F126" i="1"/>
  <c r="F125" i="1"/>
  <c r="F124" i="1"/>
  <c r="F123" i="1"/>
  <c r="F120" i="1"/>
  <c r="F119" i="1"/>
  <c r="F118" i="1"/>
  <c r="F117" i="1"/>
  <c r="F116" i="1"/>
  <c r="F115" i="1"/>
  <c r="F112" i="1"/>
  <c r="F111" i="1"/>
  <c r="F110" i="1"/>
  <c r="F109" i="1"/>
  <c r="F108" i="1"/>
  <c r="F107" i="1"/>
  <c r="F106" i="1"/>
  <c r="F105" i="1"/>
  <c r="F104" i="1"/>
  <c r="F103" i="1"/>
  <c r="F102" i="1"/>
  <c r="F101" i="1"/>
  <c r="F100" i="1"/>
  <c r="F97" i="1"/>
  <c r="F96" i="1"/>
  <c r="F95" i="1"/>
  <c r="F92" i="1"/>
  <c r="F91" i="1"/>
  <c r="F89" i="1"/>
  <c r="F88" i="1"/>
  <c r="F87" i="1"/>
  <c r="F86" i="1"/>
  <c r="F85" i="1"/>
  <c r="F84" i="1"/>
  <c r="F83" i="1"/>
  <c r="F82" i="1"/>
  <c r="F81" i="1"/>
  <c r="F78" i="1"/>
  <c r="F77" i="1"/>
  <c r="F76" i="1"/>
  <c r="F75" i="1"/>
  <c r="F74" i="1"/>
  <c r="F73" i="1"/>
  <c r="F72" i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49" i="1"/>
  <c r="F48" i="1"/>
  <c r="F47" i="1"/>
  <c r="F46" i="1"/>
  <c r="F45" i="1"/>
  <c r="F44" i="1"/>
  <c r="F43" i="1"/>
  <c r="F42" i="1"/>
  <c r="F41" i="1"/>
  <c r="F40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1" i="1"/>
  <c r="F20" i="1"/>
  <c r="F19" i="1"/>
  <c r="F16" i="1"/>
  <c r="F15" i="1"/>
  <c r="F14" i="1"/>
  <c r="F13" i="1"/>
  <c r="F12" i="1"/>
  <c r="F11" i="1"/>
  <c r="F7" i="1"/>
  <c r="H132" i="1"/>
  <c r="H117" i="1"/>
  <c r="H105" i="1"/>
  <c r="H111" i="1"/>
  <c r="H100" i="1"/>
  <c r="H97" i="1"/>
  <c r="H82" i="1"/>
  <c r="H84" i="1"/>
  <c r="H86" i="1"/>
  <c r="H88" i="1"/>
  <c r="H90" i="1"/>
  <c r="H93" i="1"/>
  <c r="H54" i="1"/>
  <c r="H56" i="1"/>
  <c r="H58" i="1"/>
  <c r="H60" i="1"/>
  <c r="H62" i="1"/>
  <c r="H64" i="1"/>
  <c r="H66" i="1"/>
  <c r="H68" i="1"/>
  <c r="H70" i="1"/>
  <c r="H72" i="1"/>
  <c r="H74" i="1"/>
  <c r="H76" i="1"/>
  <c r="H78" i="1"/>
  <c r="H50" i="1"/>
  <c r="H40" i="1"/>
  <c r="H26" i="1"/>
  <c r="H28" i="1"/>
  <c r="H30" i="1"/>
  <c r="H32" i="1"/>
  <c r="H34" i="1"/>
  <c r="H36" i="1"/>
  <c r="H24" i="1"/>
  <c r="H12" i="1"/>
  <c r="H14" i="1"/>
  <c r="H16" i="1"/>
  <c r="H122" i="1" l="1"/>
  <c r="H128" i="1"/>
  <c r="H51" i="1"/>
  <c r="H99" i="1"/>
  <c r="H114" i="1"/>
  <c r="H94" i="1"/>
  <c r="H80" i="1"/>
  <c r="H23" i="1"/>
  <c r="H39" i="1"/>
  <c r="H18" i="1"/>
  <c r="H5" i="1"/>
  <c r="H10" i="1"/>
  <c r="H9" i="1" l="1"/>
  <c r="H4" i="1" s="1"/>
  <c r="H142" i="1" s="1"/>
  <c r="H144" i="1" l="1"/>
  <c r="H146" i="1"/>
  <c r="H148" i="1" l="1"/>
  <c r="H150" i="1" s="1"/>
  <c r="H152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Zafra Iniesta, Marta Guadalupe</author>
  </authors>
  <commentList>
    <comment ref="A3" authorId="0" shapeId="0" xr:uid="{24B0B1D0-F3BD-4589-9F47-E1C626DDBEA1}">
      <text>
        <r>
          <rPr>
            <b/>
            <sz val="9"/>
            <color indexed="81"/>
            <rFont val="Tahoma"/>
            <family val="2"/>
          </rPr>
          <t>Código del concepto. Ver colores en "Entorno de trabajo: Apariencia"</t>
        </r>
      </text>
    </comment>
    <comment ref="B3" authorId="0" shapeId="0" xr:uid="{D8FB23B5-9FDC-4120-8371-710D595A70C4}">
      <text>
        <r>
          <rPr>
            <b/>
            <sz val="9"/>
            <color indexed="81"/>
            <rFont val="Tahoma"/>
            <family val="2"/>
          </rPr>
          <t>Naturaleza o tipo de concepto, ver valores de cada naturaleza en la ayuda del menú contextual</t>
        </r>
      </text>
    </comment>
    <comment ref="C3" authorId="0" shapeId="0" xr:uid="{69CFF632-83F3-4BE7-8E42-018CB4ABFE16}">
      <text>
        <r>
          <rPr>
            <b/>
            <sz val="9"/>
            <color indexed="81"/>
            <rFont val="Tahoma"/>
            <family val="2"/>
          </rPr>
          <t>Descripción corta</t>
        </r>
      </text>
    </comment>
    <comment ref="D3" authorId="0" shapeId="0" xr:uid="{B86240B4-397A-4C65-A9A1-ACD1C2384578}">
      <text>
        <r>
          <rPr>
            <b/>
            <sz val="9"/>
            <color indexed="81"/>
            <rFont val="Tahoma"/>
            <family val="2"/>
          </rPr>
          <t>Rendimiento o cantidad presupuestada</t>
        </r>
      </text>
    </comment>
    <comment ref="E3" authorId="0" shapeId="0" xr:uid="{8E4EC72C-CB53-4E9A-AAE7-A8A91799BEE6}">
      <text>
        <r>
          <rPr>
            <b/>
            <sz val="9"/>
            <color indexed="81"/>
            <rFont val="Tahoma"/>
            <family val="2"/>
          </rPr>
          <t>Unidad principal de medida del concepto</t>
        </r>
      </text>
    </comment>
    <comment ref="G3" authorId="0" shapeId="0" xr:uid="{E2A3F889-0F84-423F-9CAB-22C2422C53EE}">
      <text>
        <r>
          <rPr>
            <b/>
            <sz val="9"/>
            <color indexed="81"/>
            <rFont val="Tahoma"/>
            <family val="2"/>
          </rPr>
          <t>Precio unitario en el presupuesto</t>
        </r>
      </text>
    </comment>
    <comment ref="H3" authorId="0" shapeId="0" xr:uid="{966DDFED-F8F9-43BE-8023-8A0B4CD64CDF}">
      <text>
        <r>
          <rPr>
            <b/>
            <sz val="9"/>
            <color indexed="81"/>
            <rFont val="Tahoma"/>
            <family val="2"/>
          </rPr>
          <t>Importe del presupuesto</t>
        </r>
      </text>
    </comment>
  </commentList>
</comments>
</file>

<file path=xl/sharedStrings.xml><?xml version="1.0" encoding="utf-8"?>
<sst xmlns="http://schemas.openxmlformats.org/spreadsheetml/2006/main" count="496" uniqueCount="261">
  <si>
    <t>NÚÑEZ DE BALBOA</t>
  </si>
  <si>
    <t>Presupuesto</t>
  </si>
  <si>
    <t>Código</t>
  </si>
  <si>
    <t>Nat</t>
  </si>
  <si>
    <t>Ud</t>
  </si>
  <si>
    <t>Resumen</t>
  </si>
  <si>
    <t>CanPres</t>
  </si>
  <si>
    <t>Pres</t>
  </si>
  <si>
    <t>ImpPres</t>
  </si>
  <si>
    <t>G2</t>
  </si>
  <si>
    <t>Capítulo</t>
  </si>
  <si>
    <t/>
  </si>
  <si>
    <t>MODERNIZACIÓN</t>
  </si>
  <si>
    <t>MNB.DE.1</t>
  </si>
  <si>
    <t>INSTALACIÓN TEMPORAL DE OBRA</t>
  </si>
  <si>
    <t>I31ITALO1</t>
  </si>
  <si>
    <t>Partida</t>
  </si>
  <si>
    <t>u</t>
  </si>
  <si>
    <t>Instalación temporal de obra para alumbrado y fuerza</t>
  </si>
  <si>
    <t>I31BDA098X10</t>
  </si>
  <si>
    <t>Cuadro General Temporal</t>
  </si>
  <si>
    <t>MNB.DE.2</t>
  </si>
  <si>
    <t>INSTALACIÓN ELÉCTRICA</t>
  </si>
  <si>
    <t>MNB.DE.1.1</t>
  </si>
  <si>
    <t>DESMONTAJES</t>
  </si>
  <si>
    <t>I31BDA098X0</t>
  </si>
  <si>
    <t>Desconexión de circuitos/líneas en CGBT</t>
  </si>
  <si>
    <t>I31VDA060E</t>
  </si>
  <si>
    <t>Desmontaje/reubicación de elementos de estación</t>
  </si>
  <si>
    <t>I31FBV106X1</t>
  </si>
  <si>
    <t>Desmontaje de circuitos</t>
  </si>
  <si>
    <t>I31OBV004</t>
  </si>
  <si>
    <t>Retranqueo de Cableado a las nuevas canalizaciones</t>
  </si>
  <si>
    <t>I31OBV002</t>
  </si>
  <si>
    <t>Desmontaje y montaje de desfibrilador existente</t>
  </si>
  <si>
    <t>I31OBV003X</t>
  </si>
  <si>
    <t>Desmontaje y montaje de nuevas tomas USB</t>
  </si>
  <si>
    <t>MNB.DE.1.2</t>
  </si>
  <si>
    <t>CENTROS DE TRANSFORMACIÓN</t>
  </si>
  <si>
    <t>I31BCB315XNENB</t>
  </si>
  <si>
    <t>Modificaciones Cuadro de salida de transformador de 315 / 400 kVA</t>
  </si>
  <si>
    <t>I31BCB630X2NB</t>
  </si>
  <si>
    <t>Modificaciones Cuadro de salida de transformador de 630 kVA.</t>
  </si>
  <si>
    <t>I31BCB1X</t>
  </si>
  <si>
    <t>Cuadro de protección termica transformadores</t>
  </si>
  <si>
    <t>MNB.DE.1.3</t>
  </si>
  <si>
    <t>CUARTOS DE BAJA TENSIÓN</t>
  </si>
  <si>
    <t>I31BBB00315</t>
  </si>
  <si>
    <t>Cuadro general de B.T. (TRAFO 315 - 400 KVA)</t>
  </si>
  <si>
    <t>I31BBB00630</t>
  </si>
  <si>
    <t>Cuadro general de B.T. (TRAFO 630 KVA)</t>
  </si>
  <si>
    <t>I31DBX001</t>
  </si>
  <si>
    <t>Armario de control para Baja Tensión y módulos de entradas/salidas en CGBT.</t>
  </si>
  <si>
    <t>I31DBX0030</t>
  </si>
  <si>
    <t>Personalización del programa estándar y puesta en servicio para armario de control B.T.</t>
  </si>
  <si>
    <t>I31DBX003</t>
  </si>
  <si>
    <t>Integración de CGBT en COMMIT</t>
  </si>
  <si>
    <t>DIDOTX025</t>
  </si>
  <si>
    <t>Modificación del sistema de Telecontrol Centralizado de Estación</t>
  </si>
  <si>
    <t>I31DAX110</t>
  </si>
  <si>
    <t>m</t>
  </si>
  <si>
    <t>Cable de red Ethernet FTP cat. 6A, libre de halógenos</t>
  </si>
  <si>
    <t>I31AWR002</t>
  </si>
  <si>
    <t>Rótulos serigrafiados y esquema sinóptico en BT</t>
  </si>
  <si>
    <t>I31BBB22EMED</t>
  </si>
  <si>
    <t>Monitorización de parámetros eléctricos en el CGBT</t>
  </si>
  <si>
    <t>I31BDX0021</t>
  </si>
  <si>
    <t>Programación e integración de parámetros energía</t>
  </si>
  <si>
    <t>I31BAT106</t>
  </si>
  <si>
    <t>Red de toma de tierra mediante conductor de cobre desnudo</t>
  </si>
  <si>
    <t>I31AEA005</t>
  </si>
  <si>
    <t>Escalera aislante con soporte de las marcas, modelos y especificaciones según Pliego de Condiciones.</t>
  </si>
  <si>
    <t>I31BFX001E</t>
  </si>
  <si>
    <t>Equipo de ventilador.</t>
  </si>
  <si>
    <t>I31XGCCF600</t>
  </si>
  <si>
    <t>Compuerta Cortafuegos motorizada y sensorizada EI120 600x600</t>
  </si>
  <si>
    <t>MNB.DE.1.4</t>
  </si>
  <si>
    <t>CUADROS SECUNDARIOS</t>
  </si>
  <si>
    <t>I31BDA013T</t>
  </si>
  <si>
    <t>Cuadro secundario general de alumbrado y fuerza para cuartos técnicos</t>
  </si>
  <si>
    <t>I31BDA013NT</t>
  </si>
  <si>
    <t>Cuadro secundario general de alumbrado y fuerza para cuartos no técnicos</t>
  </si>
  <si>
    <t>I31BDA009X2</t>
  </si>
  <si>
    <t>Cuadro secundario ASEOS/VESTUARIOS</t>
  </si>
  <si>
    <t>I31BDA008X</t>
  </si>
  <si>
    <t>Cuadro secundario A/A</t>
  </si>
  <si>
    <t>I31BDA020</t>
  </si>
  <si>
    <t>Cuadro secundario auxiliar/frontera túnel</t>
  </si>
  <si>
    <t>I31BDA004CAX3</t>
  </si>
  <si>
    <t>Cuadro secundario Cancelas</t>
  </si>
  <si>
    <t>I31BDA003X1</t>
  </si>
  <si>
    <t>Cuadro secundario EVA</t>
  </si>
  <si>
    <t>I31INTEVA01</t>
  </si>
  <si>
    <t>Integración cuadro EVA en COMMIT</t>
  </si>
  <si>
    <t>I31CACOMEVA</t>
  </si>
  <si>
    <t>Instalación cables de comunicaciones EVA</t>
  </si>
  <si>
    <t>I31AWR003</t>
  </si>
  <si>
    <t>Rótulos serigrafiados y esquema sinóptico en EVA</t>
  </si>
  <si>
    <t>MNB.DE.1.5</t>
  </si>
  <si>
    <t>CABLEADO</t>
  </si>
  <si>
    <t>I31CBA015</t>
  </si>
  <si>
    <t>Cable de Cu. de 1 x 240 mm². RZ1 (AS)-0.6/1KV.</t>
  </si>
  <si>
    <t>I31CBA014</t>
  </si>
  <si>
    <t>Cable de Cu. de 1 x 185 mm². RZ1 (AS)-0.6/1KV.</t>
  </si>
  <si>
    <t>I31CBA013</t>
  </si>
  <si>
    <t>Cable de Cu. de 1 x 150 mm². RZ1 (AS)-0.6/1KV.</t>
  </si>
  <si>
    <t>I31CBA011</t>
  </si>
  <si>
    <t>Cable de Cu. de 1 x 95 mm². RZ1 (AS)-0.6/1KV.</t>
  </si>
  <si>
    <t>I31CBA010</t>
  </si>
  <si>
    <t>Cable de Cu. de 1 x 70 mm². RZ1 (AS)-0.6/1KV.</t>
  </si>
  <si>
    <t>I31CBA009</t>
  </si>
  <si>
    <t>Cable de Cu. de 1 x 50 mm². RZ1 (AS)-0.6/1KV.</t>
  </si>
  <si>
    <t>I31CBA008</t>
  </si>
  <si>
    <t>Cable de Cu. de 1 x 35 mm². RZ1 (AS)-0.6/1KV.</t>
  </si>
  <si>
    <t>I31CBA007</t>
  </si>
  <si>
    <t>Cable de Cu. de 1 x 25 mm². RZ1 (AS)-0.6/1KV.</t>
  </si>
  <si>
    <t>I31CBG001</t>
  </si>
  <si>
    <t>Cable Cu. de 3 G 1,5 mm². RZ1-K (AS)-0.6/1 KV.</t>
  </si>
  <si>
    <t>I31CBG002</t>
  </si>
  <si>
    <t>Cable Cu. de 3 G 2,5 mm². RZ1-K (AS)-0.6/1 KV.</t>
  </si>
  <si>
    <t>I31CBG003</t>
  </si>
  <si>
    <t>Cable Cu. de 3 G 4 mm². RZ1-K (AS)-0.6/1 KV.</t>
  </si>
  <si>
    <t>I31CBG004</t>
  </si>
  <si>
    <t>Cable Cu. de 3 G 6 mm². RZ1-K (AS)-0.6/1 KV.</t>
  </si>
  <si>
    <t>I31CBG005</t>
  </si>
  <si>
    <t>Cable Cu. de 3 G 10 mm². RZ1-K (AS)-0.6/1 KV.</t>
  </si>
  <si>
    <t>I31CBG006</t>
  </si>
  <si>
    <t>Cable Cu. de 3 G 16 mm². RZ1-K (AS)-0.6/1 KV.</t>
  </si>
  <si>
    <t>I31CBF001</t>
  </si>
  <si>
    <t>Cable Cu. de 5 G 1,5 mm². RZ1-K (AS)-0.6/1 KV.</t>
  </si>
  <si>
    <t>I31CBF002</t>
  </si>
  <si>
    <t>Cable Cu. de 5 G 2,5 mm². RZ1-K (AS)-0.6/1 KV.</t>
  </si>
  <si>
    <t>I31CBF003</t>
  </si>
  <si>
    <t>Cable Cu. de 5 G 4 mm². RZ1-K (AS)-0.6/1 KV.</t>
  </si>
  <si>
    <t>I31CBF004</t>
  </si>
  <si>
    <t>Cable Cu. de 5 G 6 mm². RZ1-K (AS)-0.6/1 KV.</t>
  </si>
  <si>
    <t>I31CBF005</t>
  </si>
  <si>
    <t>Cable Cu. de 5 G 10 mm². RZ1-K (AS)-0.6/1 KV.</t>
  </si>
  <si>
    <t>I31CBF006</t>
  </si>
  <si>
    <t>Cable Cu. de 5 G 16 mm². RZ1-K (AS)-0.6/1 KV.</t>
  </si>
  <si>
    <t>I31CBS508</t>
  </si>
  <si>
    <t>Cable resistente al fuego de Cu. de 5 G 4 mm². SZ1-K (AS+)-0.6/1 KV.</t>
  </si>
  <si>
    <t>I31CBS516</t>
  </si>
  <si>
    <t>Cable resistente al fuego de Cu. de 5 G 16 mm². SZ1-K (AS+)-0.6/1 KV.</t>
  </si>
  <si>
    <t>I31CBS201</t>
  </si>
  <si>
    <t>Cable resistente al fuego de Cu. de 3 G 2,5 mm². SZ1-K (AS+)-0.6/1 KV.</t>
  </si>
  <si>
    <t>I31CBS202</t>
  </si>
  <si>
    <t>Cable resistente al fuego de Cu. de 3 G 4 mm². SZ1-K (AS+)-0.6/1 KV.</t>
  </si>
  <si>
    <t>PNCBA006</t>
  </si>
  <si>
    <t>Puestas a tierra de canaletas perimetrales</t>
  </si>
  <si>
    <t>I31CDC01</t>
  </si>
  <si>
    <t>Cable desnudo de Cu. de 1 x 35 mm².</t>
  </si>
  <si>
    <t>I31CBS095</t>
  </si>
  <si>
    <t>Cable resistente al fuego de Cu. de 1 x 95 mm². SZ1-K (AS+)-0.6/1 KV.</t>
  </si>
  <si>
    <t>MNB.DE.1.6</t>
  </si>
  <si>
    <t>CANALIZACIONES</t>
  </si>
  <si>
    <t>I31ZKA003</t>
  </si>
  <si>
    <t>Bandeja perforada aislante libre de halógenos 300x60 mm con tapa y p.p. soportes</t>
  </si>
  <si>
    <t>I31ZKA005</t>
  </si>
  <si>
    <t>Bandeja perforada aislante libre de halógenos 600x100 mm con tapa y p.p. soportes</t>
  </si>
  <si>
    <t>I31ZKA004</t>
  </si>
  <si>
    <t>Bandeja perforada aislante libre de halógenos 400x100 mm con tapa y p.p. soportes</t>
  </si>
  <si>
    <t>I31KBC117</t>
  </si>
  <si>
    <t>Bandeja de rejilla 100x400 GC C7</t>
  </si>
  <si>
    <t>DIDKTA004X0</t>
  </si>
  <si>
    <t>Tubo rígido M20 libre de halogenos</t>
  </si>
  <si>
    <t>DIDKTA004X2</t>
  </si>
  <si>
    <t>Tubo rígido M40 libre de halogenos</t>
  </si>
  <si>
    <t>I310761</t>
  </si>
  <si>
    <t>Tubo corrugado M20 libre de halogenos</t>
  </si>
  <si>
    <t>I310762</t>
  </si>
  <si>
    <t>Tubo corrugado M25 libre de halogenos</t>
  </si>
  <si>
    <t>I310763</t>
  </si>
  <si>
    <t>Tubo corrugado M32 libre de halogenos</t>
  </si>
  <si>
    <t>I310764</t>
  </si>
  <si>
    <t>Tubo corrugado M40 libre de halogenos</t>
  </si>
  <si>
    <t>I310766</t>
  </si>
  <si>
    <t>Tubo corrugado doble capa M63 libre de halogenos</t>
  </si>
  <si>
    <t>I310778</t>
  </si>
  <si>
    <t>Tubo corrugado doble capa M90 libre de halogenos</t>
  </si>
  <si>
    <t>MNB.DE.1.7</t>
  </si>
  <si>
    <t>INSTALACIÓN DE FUERZA</t>
  </si>
  <si>
    <t>I31BJD010X</t>
  </si>
  <si>
    <t>Caja con dos bases de enchufe industrial, 16A/230 V y 16A/400V</t>
  </si>
  <si>
    <t>I31NWS080</t>
  </si>
  <si>
    <t>Base de enchufe schuko instalación superificial</t>
  </si>
  <si>
    <t>I31KD020X</t>
  </si>
  <si>
    <t>Kit puesto de trabajo eléctrico PVC superficie/empotrar 4 TC + 1-4 conectores voz/datos instalación completa</t>
  </si>
  <si>
    <t>MNB.DE.1.8</t>
  </si>
  <si>
    <t>INSTALACIÓN DE ALUMRADO</t>
  </si>
  <si>
    <t>I31SOP02</t>
  </si>
  <si>
    <t>Estructura portante modular homologada MdM tipo adosada</t>
  </si>
  <si>
    <t>I31SOP01</t>
  </si>
  <si>
    <t>Estructura portante modular homologada MdM tipo suspendida</t>
  </si>
  <si>
    <t>I31SOP03</t>
  </si>
  <si>
    <t>Estructura portante modular homologada MdM tipo pared</t>
  </si>
  <si>
    <t>I31LUM01</t>
  </si>
  <si>
    <t>Luminaria LED homologada MdM tipo suspendida/adosada</t>
  </si>
  <si>
    <t>I31LUM02</t>
  </si>
  <si>
    <t>Luminaria LED homologada MdM tipo pared</t>
  </si>
  <si>
    <t>I31CON10NE</t>
  </si>
  <si>
    <t>Conector rápido macho-hembra (1 hembra/3 machos) estanco, homologado MdM</t>
  </si>
  <si>
    <t>131ILE010</t>
  </si>
  <si>
    <t>Luminaria de emergencia LED 500 lm, 1h, NP, estanca, autotest</t>
  </si>
  <si>
    <t>131ILE007</t>
  </si>
  <si>
    <t>Luminaria de emergencia LED 300 lm, 1h, NP, estanca, autotest</t>
  </si>
  <si>
    <t>I31EST041</t>
  </si>
  <si>
    <t>Luminaria estanca LED. 15-50W 4000K.</t>
  </si>
  <si>
    <t>I31NWS070</t>
  </si>
  <si>
    <t>Punto Luz superficie</t>
  </si>
  <si>
    <t>I31LUMPOR1</t>
  </si>
  <si>
    <t>Foco/aplique modular iluminación pórtico acceso estación</t>
  </si>
  <si>
    <t>I31DEC01</t>
  </si>
  <si>
    <t>Sistema de iluminación ornamental y decorativa</t>
  </si>
  <si>
    <t>ILEDCONTROLX</t>
  </si>
  <si>
    <t>Sistema de control de iluminación modular lineal LED</t>
  </si>
  <si>
    <t>MNB.DE.1.9</t>
  </si>
  <si>
    <t>ACOMETIDA DE SOCORRO</t>
  </si>
  <si>
    <t>I31FSX060X</t>
  </si>
  <si>
    <t>Gestiones ampliación de potencia en acometida de socorro existente en estación.</t>
  </si>
  <si>
    <t>I31FSX070X</t>
  </si>
  <si>
    <t>Suministro e instalación de acometida de Socorro.</t>
  </si>
  <si>
    <t>I31FSX100X</t>
  </si>
  <si>
    <t>Actuaciones adecuación acometida de SOS</t>
  </si>
  <si>
    <t>I31FSX060X21L5</t>
  </si>
  <si>
    <t>Cuadro de socorro en estación L5</t>
  </si>
  <si>
    <t>I31FSX060X21L9</t>
  </si>
  <si>
    <t>Cuadro de socorro en estación L9</t>
  </si>
  <si>
    <t>I31VXX004SB</t>
  </si>
  <si>
    <t>Desmontaje/montaje cuadros de socorro para reubicación</t>
  </si>
  <si>
    <t>MNB.DE.1.10</t>
  </si>
  <si>
    <t>VARIOS</t>
  </si>
  <si>
    <t>I31SANPCL</t>
  </si>
  <si>
    <t>Instalación eléctrica PCL</t>
  </si>
  <si>
    <t>I31EVX015T</t>
  </si>
  <si>
    <t>Realización de paso de bóveda para la instalación de cables eléctricos.</t>
  </si>
  <si>
    <t>I31BJW020</t>
  </si>
  <si>
    <t>Toma de datos y estudios de instalación eléctrica e iluminación</t>
  </si>
  <si>
    <t>I31VXX002X</t>
  </si>
  <si>
    <t>Reubicación de cuadros eléctricos</t>
  </si>
  <si>
    <t>MNB.DE.3</t>
  </si>
  <si>
    <t>DOCUMENTACIÓN Y LEGALIZACIONES</t>
  </si>
  <si>
    <t>I31VMX005X</t>
  </si>
  <si>
    <t>Legalización de instalación de Baja Tensión temporal en estación</t>
  </si>
  <si>
    <t>I31DOC01</t>
  </si>
  <si>
    <t>Documentación fin de obra</t>
  </si>
  <si>
    <t>I31VMX003</t>
  </si>
  <si>
    <t>Legalización de la totalidad de las instalaciones B.T.</t>
  </si>
  <si>
    <t>I31VMX004.S</t>
  </si>
  <si>
    <t>Legalización de las instalaciones BT acometida de socorro.</t>
  </si>
  <si>
    <t>MNB.DE.4</t>
  </si>
  <si>
    <t>SEGURIDAD Y SALUD</t>
  </si>
  <si>
    <t>I31ESS</t>
  </si>
  <si>
    <t>Estudio de seguridad y salud</t>
  </si>
  <si>
    <t>Ejecución Material</t>
  </si>
  <si>
    <t>Beneficio Industrial</t>
  </si>
  <si>
    <t>Gastos Generales</t>
  </si>
  <si>
    <t>Total</t>
  </si>
  <si>
    <t>IVA</t>
  </si>
  <si>
    <t>Base Licitación</t>
  </si>
  <si>
    <t>Precio unitario proyecto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</si>
</sst>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9"/>
      <color indexed="81"/>
      <name val="Tahoma"/>
      <family val="2"/>
    </font>
    <font>
      <b/>
      <i/>
      <sz val="10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8"/>
      <color rgb="FFFF40FF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color rgb="FFFF40FF"/>
      <name val="Calibri"/>
      <family val="2"/>
      <scheme val="minor"/>
    </font>
    <font>
      <b/>
      <sz val="10"/>
      <color rgb="FFFF40FF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C2D5E7"/>
        <bgColor indexed="64"/>
      </patternFill>
    </fill>
    <fill>
      <patternFill patternType="solid">
        <fgColor rgb="FFF0F0F0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D1E1ED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CC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47">
    <xf numFmtId="0" fontId="0" fillId="0" borderId="0" xfId="0"/>
    <xf numFmtId="0" fontId="2" fillId="0" borderId="0" xfId="0" applyFont="1" applyAlignment="1">
      <alignment vertical="top"/>
    </xf>
    <xf numFmtId="0" fontId="0" fillId="0" borderId="0" xfId="0" applyAlignment="1">
      <alignment vertical="top"/>
    </xf>
    <xf numFmtId="0" fontId="3" fillId="0" borderId="0" xfId="0" applyFont="1" applyAlignment="1">
      <alignment vertical="top"/>
    </xf>
    <xf numFmtId="0" fontId="5" fillId="0" borderId="0" xfId="0" applyFont="1" applyAlignment="1">
      <alignment vertical="top"/>
    </xf>
    <xf numFmtId="49" fontId="6" fillId="2" borderId="0" xfId="0" applyNumberFormat="1" applyFont="1" applyFill="1" applyAlignment="1">
      <alignment vertical="top"/>
    </xf>
    <xf numFmtId="4" fontId="7" fillId="2" borderId="0" xfId="0" applyNumberFormat="1" applyFont="1" applyFill="1" applyAlignment="1">
      <alignment vertical="top"/>
    </xf>
    <xf numFmtId="49" fontId="8" fillId="3" borderId="0" xfId="0" applyNumberFormat="1" applyFont="1" applyFill="1" applyAlignment="1">
      <alignment vertical="top"/>
    </xf>
    <xf numFmtId="49" fontId="8" fillId="0" borderId="0" xfId="0" applyNumberFormat="1" applyFont="1" applyAlignment="1">
      <alignment vertical="top"/>
    </xf>
    <xf numFmtId="4" fontId="8" fillId="0" borderId="0" xfId="0" applyNumberFormat="1" applyFont="1" applyAlignment="1">
      <alignment vertical="top"/>
    </xf>
    <xf numFmtId="0" fontId="8" fillId="4" borderId="0" xfId="0" applyFont="1" applyFill="1" applyAlignment="1">
      <alignment vertical="top"/>
    </xf>
    <xf numFmtId="49" fontId="6" fillId="5" borderId="0" xfId="0" applyNumberFormat="1" applyFont="1" applyFill="1" applyAlignment="1">
      <alignment vertical="top"/>
    </xf>
    <xf numFmtId="4" fontId="7" fillId="5" borderId="0" xfId="0" applyNumberFormat="1" applyFont="1" applyFill="1" applyAlignment="1">
      <alignment vertical="top"/>
    </xf>
    <xf numFmtId="0" fontId="5" fillId="0" borderId="0" xfId="0" applyFont="1" applyAlignment="1">
      <alignment vertical="top" wrapText="1"/>
    </xf>
    <xf numFmtId="49" fontId="6" fillId="2" borderId="0" xfId="0" applyNumberFormat="1" applyFont="1" applyFill="1" applyAlignment="1">
      <alignment vertical="top" wrapText="1"/>
    </xf>
    <xf numFmtId="49" fontId="8" fillId="0" borderId="0" xfId="0" applyNumberFormat="1" applyFont="1" applyAlignment="1">
      <alignment vertical="top" wrapText="1"/>
    </xf>
    <xf numFmtId="0" fontId="8" fillId="4" borderId="0" xfId="0" applyFont="1" applyFill="1" applyAlignment="1">
      <alignment vertical="top" wrapText="1"/>
    </xf>
    <xf numFmtId="49" fontId="6" fillId="5" borderId="0" xfId="0" applyNumberFormat="1" applyFont="1" applyFill="1" applyAlignment="1">
      <alignment vertical="top" wrapText="1"/>
    </xf>
    <xf numFmtId="49" fontId="2" fillId="6" borderId="0" xfId="0" applyNumberFormat="1" applyFont="1" applyFill="1" applyAlignment="1">
      <alignment vertical="top"/>
    </xf>
    <xf numFmtId="49" fontId="2" fillId="6" borderId="0" xfId="0" applyNumberFormat="1" applyFont="1" applyFill="1" applyAlignment="1">
      <alignment vertical="top" wrapText="1"/>
    </xf>
    <xf numFmtId="3" fontId="10" fillId="6" borderId="0" xfId="0" applyNumberFormat="1" applyFont="1" applyFill="1" applyAlignment="1">
      <alignment vertical="top"/>
    </xf>
    <xf numFmtId="4" fontId="10" fillId="6" borderId="0" xfId="0" applyNumberFormat="1" applyFont="1" applyFill="1" applyAlignment="1">
      <alignment vertical="top"/>
    </xf>
    <xf numFmtId="0" fontId="0" fillId="0" borderId="0" xfId="0"/>
    <xf numFmtId="0" fontId="0" fillId="0" borderId="0" xfId="0" applyProtection="1"/>
    <xf numFmtId="9" fontId="0" fillId="0" borderId="0" xfId="1" applyFont="1" applyProtection="1"/>
    <xf numFmtId="0" fontId="11" fillId="0" borderId="0" xfId="0" applyFont="1" applyProtection="1"/>
    <xf numFmtId="4" fontId="7" fillId="2" borderId="0" xfId="0" applyNumberFormat="1" applyFont="1" applyFill="1" applyAlignment="1" applyProtection="1">
      <alignment vertical="top"/>
      <protection locked="0"/>
    </xf>
    <xf numFmtId="9" fontId="0" fillId="7" borderId="0" xfId="1" applyFont="1" applyFill="1" applyProtection="1">
      <protection locked="0"/>
    </xf>
    <xf numFmtId="4" fontId="10" fillId="6" borderId="0" xfId="0" applyNumberFormat="1" applyFont="1" applyFill="1" applyAlignment="1" applyProtection="1">
      <alignment vertical="top"/>
      <protection hidden="1"/>
    </xf>
    <xf numFmtId="4" fontId="7" fillId="2" borderId="0" xfId="0" applyNumberFormat="1" applyFont="1" applyFill="1" applyAlignment="1" applyProtection="1">
      <alignment vertical="top"/>
      <protection hidden="1"/>
    </xf>
    <xf numFmtId="4" fontId="9" fillId="9" borderId="0" xfId="0" applyNumberFormat="1" applyFont="1" applyFill="1" applyAlignment="1" applyProtection="1">
      <alignment vertical="top"/>
      <protection hidden="1"/>
    </xf>
    <xf numFmtId="0" fontId="8" fillId="4" borderId="0" xfId="0" applyFont="1" applyFill="1" applyAlignment="1" applyProtection="1">
      <alignment vertical="top"/>
      <protection hidden="1"/>
    </xf>
    <xf numFmtId="4" fontId="7" fillId="5" borderId="0" xfId="0" applyNumberFormat="1" applyFont="1" applyFill="1" applyAlignment="1" applyProtection="1">
      <alignment vertical="top"/>
      <protection hidden="1"/>
    </xf>
    <xf numFmtId="4" fontId="9" fillId="0" borderId="0" xfId="0" applyNumberFormat="1" applyFont="1" applyAlignment="1" applyProtection="1">
      <alignment vertical="top"/>
      <protection hidden="1"/>
    </xf>
    <xf numFmtId="0" fontId="0" fillId="0" borderId="0" xfId="0" applyProtection="1">
      <protection hidden="1"/>
    </xf>
    <xf numFmtId="44" fontId="0" fillId="0" borderId="0" xfId="2" applyFont="1" applyProtection="1">
      <protection hidden="1"/>
    </xf>
    <xf numFmtId="4" fontId="8" fillId="4" borderId="0" xfId="0" applyNumberFormat="1" applyFont="1" applyFill="1" applyAlignment="1" applyProtection="1">
      <alignment vertical="top"/>
      <protection hidden="1"/>
    </xf>
    <xf numFmtId="0" fontId="5" fillId="0" borderId="0" xfId="0" applyFont="1" applyAlignment="1" applyProtection="1">
      <alignment vertical="top"/>
      <protection hidden="1"/>
    </xf>
    <xf numFmtId="49" fontId="2" fillId="6" borderId="0" xfId="0" applyNumberFormat="1" applyFont="1" applyFill="1" applyAlignment="1" applyProtection="1">
      <alignment vertical="top"/>
      <protection hidden="1"/>
    </xf>
    <xf numFmtId="49" fontId="6" fillId="2" borderId="0" xfId="0" applyNumberFormat="1" applyFont="1" applyFill="1" applyAlignment="1" applyProtection="1">
      <alignment vertical="top"/>
      <protection hidden="1"/>
    </xf>
    <xf numFmtId="4" fontId="8" fillId="0" borderId="0" xfId="0" applyNumberFormat="1" applyFont="1" applyAlignment="1" applyProtection="1">
      <alignment vertical="top"/>
      <protection hidden="1"/>
    </xf>
    <xf numFmtId="4" fontId="6" fillId="2" borderId="0" xfId="0" applyNumberFormat="1" applyFont="1" applyFill="1" applyAlignment="1" applyProtection="1">
      <alignment vertical="top"/>
      <protection hidden="1"/>
    </xf>
    <xf numFmtId="4" fontId="6" fillId="5" borderId="0" xfId="0" applyNumberFormat="1" applyFont="1" applyFill="1" applyAlignment="1" applyProtection="1">
      <alignment vertical="top"/>
      <protection hidden="1"/>
    </xf>
    <xf numFmtId="4" fontId="8" fillId="8" borderId="0" xfId="0" applyNumberFormat="1" applyFont="1" applyFill="1" applyAlignment="1" applyProtection="1">
      <alignment vertical="top"/>
      <protection locked="0"/>
    </xf>
    <xf numFmtId="4" fontId="8" fillId="4" borderId="0" xfId="0" applyNumberFormat="1" applyFont="1" applyFill="1" applyAlignment="1" applyProtection="1">
      <alignment vertical="top"/>
      <protection locked="0"/>
    </xf>
    <xf numFmtId="4" fontId="6" fillId="2" borderId="0" xfId="0" applyNumberFormat="1" applyFont="1" applyFill="1" applyAlignment="1" applyProtection="1">
      <alignment vertical="top"/>
      <protection locked="0"/>
    </xf>
    <xf numFmtId="4" fontId="6" fillId="5" borderId="0" xfId="0" applyNumberFormat="1" applyFont="1" applyFill="1" applyAlignment="1" applyProtection="1">
      <alignment vertical="top"/>
      <protection locked="0"/>
    </xf>
  </cellXfs>
  <cellStyles count="3">
    <cellStyle name="Moneda 2" xfId="2" xr:uid="{E50122ED-0349-4294-8E23-BA37DA5D13E4}"/>
    <cellStyle name="Normal" xfId="0" builtinId="0"/>
    <cellStyle name="Porcentaje" xfId="1" builtinId="5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FA0F88-7C26-4062-8F7F-EB0F2F03EBDC}">
  <dimension ref="A1:H152"/>
  <sheetViews>
    <sheetView tabSelected="1" workbookViewId="0">
      <pane xSplit="3" ySplit="3" topLeftCell="D4" activePane="bottomRight" state="frozen"/>
      <selection pane="topRight" activeCell="E1" sqref="E1"/>
      <selection pane="bottomLeft" activeCell="A4" sqref="A4"/>
      <selection pane="bottomRight" activeCell="H9" sqref="H9"/>
    </sheetView>
  </sheetViews>
  <sheetFormatPr baseColWidth="10" defaultRowHeight="14.4" x14ac:dyDescent="0.3"/>
  <cols>
    <col min="1" max="1" width="11.44140625" bestFit="1" customWidth="1"/>
    <col min="2" max="2" width="5.77734375" bestFit="1" customWidth="1"/>
    <col min="3" max="3" width="33.109375" customWidth="1"/>
    <col min="4" max="4" width="8" bestFit="1" customWidth="1"/>
    <col min="5" max="5" width="7.5546875" customWidth="1"/>
    <col min="6" max="6" width="20.88671875" style="22" customWidth="1"/>
    <col min="7" max="7" width="11.88671875" customWidth="1"/>
    <col min="8" max="8" width="17.88671875" customWidth="1"/>
  </cols>
  <sheetData>
    <row r="1" spans="1:8" x14ac:dyDescent="0.3">
      <c r="A1" s="1" t="s">
        <v>0</v>
      </c>
      <c r="B1" s="2"/>
      <c r="C1" s="2"/>
      <c r="D1" s="2"/>
      <c r="E1" s="2"/>
      <c r="F1" s="2"/>
      <c r="G1" s="2"/>
      <c r="H1" s="2"/>
    </row>
    <row r="2" spans="1:8" ht="18" x14ac:dyDescent="0.3">
      <c r="A2" s="3" t="s">
        <v>1</v>
      </c>
      <c r="B2" s="2"/>
      <c r="C2" s="2"/>
      <c r="D2" s="2"/>
      <c r="E2" s="2"/>
      <c r="F2" s="2"/>
      <c r="G2" s="2"/>
      <c r="H2" s="2"/>
    </row>
    <row r="3" spans="1:8" x14ac:dyDescent="0.3">
      <c r="A3" s="4" t="s">
        <v>2</v>
      </c>
      <c r="B3" s="4" t="s">
        <v>3</v>
      </c>
      <c r="C3" s="13" t="s">
        <v>5</v>
      </c>
      <c r="D3" s="4" t="s">
        <v>6</v>
      </c>
      <c r="E3" s="4" t="s">
        <v>4</v>
      </c>
      <c r="F3" s="37" t="s">
        <v>260</v>
      </c>
      <c r="G3" s="4" t="s">
        <v>7</v>
      </c>
      <c r="H3" s="4" t="s">
        <v>8</v>
      </c>
    </row>
    <row r="4" spans="1:8" x14ac:dyDescent="0.3">
      <c r="A4" s="18" t="s">
        <v>9</v>
      </c>
      <c r="B4" s="18" t="s">
        <v>10</v>
      </c>
      <c r="C4" s="19" t="s">
        <v>12</v>
      </c>
      <c r="D4" s="20">
        <v>1</v>
      </c>
      <c r="E4" s="18" t="s">
        <v>11</v>
      </c>
      <c r="F4" s="38"/>
      <c r="G4" s="21"/>
      <c r="H4" s="28">
        <f>SUM(H5,H9,H128,H134)</f>
        <v>0</v>
      </c>
    </row>
    <row r="5" spans="1:8" x14ac:dyDescent="0.3">
      <c r="A5" s="5" t="s">
        <v>13</v>
      </c>
      <c r="B5" s="5" t="s">
        <v>10</v>
      </c>
      <c r="C5" s="14" t="s">
        <v>14</v>
      </c>
      <c r="D5" s="6">
        <v>1</v>
      </c>
      <c r="E5" s="5" t="s">
        <v>11</v>
      </c>
      <c r="F5" s="39"/>
      <c r="G5" s="26"/>
      <c r="H5" s="29">
        <f>SUM(H6:H7)</f>
        <v>0</v>
      </c>
    </row>
    <row r="6" spans="1:8" ht="20.399999999999999" x14ac:dyDescent="0.3">
      <c r="A6" s="7" t="s">
        <v>15</v>
      </c>
      <c r="B6" s="8" t="s">
        <v>16</v>
      </c>
      <c r="C6" s="15" t="s">
        <v>18</v>
      </c>
      <c r="D6" s="9">
        <v>1</v>
      </c>
      <c r="E6" s="8" t="s">
        <v>17</v>
      </c>
      <c r="F6" s="40">
        <f>74688.93*1.05</f>
        <v>78423.38</v>
      </c>
      <c r="G6" s="43"/>
      <c r="H6" s="30">
        <f>D6*G6</f>
        <v>0</v>
      </c>
    </row>
    <row r="7" spans="1:8" x14ac:dyDescent="0.3">
      <c r="A7" s="7" t="s">
        <v>19</v>
      </c>
      <c r="B7" s="8" t="s">
        <v>16</v>
      </c>
      <c r="C7" s="15" t="s">
        <v>20</v>
      </c>
      <c r="D7" s="9">
        <v>1</v>
      </c>
      <c r="E7" s="8" t="s">
        <v>17</v>
      </c>
      <c r="F7" s="40">
        <f>55223.08*1.05</f>
        <v>57984.23</v>
      </c>
      <c r="G7" s="43"/>
      <c r="H7" s="30">
        <f>D7*G7</f>
        <v>0</v>
      </c>
    </row>
    <row r="8" spans="1:8" ht="1.05" customHeight="1" x14ac:dyDescent="0.3">
      <c r="A8" s="10"/>
      <c r="B8" s="10"/>
      <c r="C8" s="16"/>
      <c r="D8" s="10"/>
      <c r="E8" s="10"/>
      <c r="F8" s="36"/>
      <c r="G8" s="44"/>
      <c r="H8" s="36"/>
    </row>
    <row r="9" spans="1:8" x14ac:dyDescent="0.3">
      <c r="A9" s="5" t="s">
        <v>21</v>
      </c>
      <c r="B9" s="5" t="s">
        <v>10</v>
      </c>
      <c r="C9" s="14" t="s">
        <v>22</v>
      </c>
      <c r="D9" s="6">
        <v>1</v>
      </c>
      <c r="E9" s="5" t="s">
        <v>11</v>
      </c>
      <c r="F9" s="41"/>
      <c r="G9" s="45"/>
      <c r="H9" s="29">
        <f>SUM(H10,H18,H23,H39,H51,H80,H94,H99,H114,H122)</f>
        <v>0</v>
      </c>
    </row>
    <row r="10" spans="1:8" x14ac:dyDescent="0.3">
      <c r="A10" s="11" t="s">
        <v>23</v>
      </c>
      <c r="B10" s="11" t="s">
        <v>10</v>
      </c>
      <c r="C10" s="17" t="s">
        <v>24</v>
      </c>
      <c r="D10" s="12">
        <v>1</v>
      </c>
      <c r="E10" s="11" t="s">
        <v>11</v>
      </c>
      <c r="F10" s="42"/>
      <c r="G10" s="46"/>
      <c r="H10" s="32">
        <f>SUM(H11:H16)</f>
        <v>0</v>
      </c>
    </row>
    <row r="11" spans="1:8" x14ac:dyDescent="0.3">
      <c r="A11" s="7" t="s">
        <v>25</v>
      </c>
      <c r="B11" s="8" t="s">
        <v>16</v>
      </c>
      <c r="C11" s="15" t="s">
        <v>26</v>
      </c>
      <c r="D11" s="9">
        <v>2</v>
      </c>
      <c r="E11" s="8" t="s">
        <v>17</v>
      </c>
      <c r="F11" s="40">
        <f>3292.48*1.05</f>
        <v>3457.1</v>
      </c>
      <c r="G11" s="43"/>
      <c r="H11" s="30">
        <f>D11*G11</f>
        <v>0</v>
      </c>
    </row>
    <row r="12" spans="1:8" x14ac:dyDescent="0.3">
      <c r="A12" s="7" t="s">
        <v>27</v>
      </c>
      <c r="B12" s="8" t="s">
        <v>16</v>
      </c>
      <c r="C12" s="15" t="s">
        <v>28</v>
      </c>
      <c r="D12" s="9">
        <v>2</v>
      </c>
      <c r="E12" s="8" t="s">
        <v>17</v>
      </c>
      <c r="F12" s="40">
        <f>6173.4*1.05</f>
        <v>6482.07</v>
      </c>
      <c r="G12" s="43"/>
      <c r="H12" s="30">
        <f t="shared" ref="H12:H16" si="0">D12*G12</f>
        <v>0</v>
      </c>
    </row>
    <row r="13" spans="1:8" x14ac:dyDescent="0.3">
      <c r="A13" s="7" t="s">
        <v>29</v>
      </c>
      <c r="B13" s="8" t="s">
        <v>16</v>
      </c>
      <c r="C13" s="15" t="s">
        <v>30</v>
      </c>
      <c r="D13" s="9">
        <v>2</v>
      </c>
      <c r="E13" s="8" t="s">
        <v>17</v>
      </c>
      <c r="F13" s="40">
        <f>18520.2*1.05</f>
        <v>19446.21</v>
      </c>
      <c r="G13" s="43"/>
      <c r="H13" s="30">
        <f t="shared" si="0"/>
        <v>0</v>
      </c>
    </row>
    <row r="14" spans="1:8" ht="20.399999999999999" x14ac:dyDescent="0.3">
      <c r="A14" s="7" t="s">
        <v>31</v>
      </c>
      <c r="B14" s="8" t="s">
        <v>16</v>
      </c>
      <c r="C14" s="15" t="s">
        <v>32</v>
      </c>
      <c r="D14" s="9">
        <v>2</v>
      </c>
      <c r="E14" s="8" t="s">
        <v>17</v>
      </c>
      <c r="F14" s="40">
        <f>4810*1.05</f>
        <v>5050.5</v>
      </c>
      <c r="G14" s="43"/>
      <c r="H14" s="30">
        <f t="shared" si="0"/>
        <v>0</v>
      </c>
    </row>
    <row r="15" spans="1:8" x14ac:dyDescent="0.3">
      <c r="A15" s="7" t="s">
        <v>33</v>
      </c>
      <c r="B15" s="8" t="s">
        <v>16</v>
      </c>
      <c r="C15" s="15" t="s">
        <v>34</v>
      </c>
      <c r="D15" s="9">
        <v>5</v>
      </c>
      <c r="E15" s="8" t="s">
        <v>17</v>
      </c>
      <c r="F15" s="40">
        <f>384.8*1.05</f>
        <v>404.04</v>
      </c>
      <c r="G15" s="43"/>
      <c r="H15" s="30">
        <f t="shared" si="0"/>
        <v>0</v>
      </c>
    </row>
    <row r="16" spans="1:8" x14ac:dyDescent="0.3">
      <c r="A16" s="7" t="s">
        <v>35</v>
      </c>
      <c r="B16" s="8" t="s">
        <v>16</v>
      </c>
      <c r="C16" s="15" t="s">
        <v>36</v>
      </c>
      <c r="D16" s="9">
        <v>2</v>
      </c>
      <c r="E16" s="8" t="s">
        <v>17</v>
      </c>
      <c r="F16" s="40">
        <f>1981.92*1.05</f>
        <v>2081.02</v>
      </c>
      <c r="G16" s="43"/>
      <c r="H16" s="30">
        <f t="shared" si="0"/>
        <v>0</v>
      </c>
    </row>
    <row r="17" spans="1:8" ht="1.05" customHeight="1" x14ac:dyDescent="0.3">
      <c r="A17" s="10"/>
      <c r="B17" s="10"/>
      <c r="C17" s="16"/>
      <c r="D17" s="10"/>
      <c r="E17" s="10"/>
      <c r="F17" s="36"/>
      <c r="G17" s="44"/>
      <c r="H17" s="36"/>
    </row>
    <row r="18" spans="1:8" x14ac:dyDescent="0.3">
      <c r="A18" s="11" t="s">
        <v>37</v>
      </c>
      <c r="B18" s="11" t="s">
        <v>10</v>
      </c>
      <c r="C18" s="17" t="s">
        <v>38</v>
      </c>
      <c r="D18" s="12">
        <v>1</v>
      </c>
      <c r="E18" s="11" t="s">
        <v>11</v>
      </c>
      <c r="F18" s="42"/>
      <c r="G18" s="46"/>
      <c r="H18" s="32">
        <f>SUM(H19:H21)</f>
        <v>0</v>
      </c>
    </row>
    <row r="19" spans="1:8" ht="20.399999999999999" x14ac:dyDescent="0.3">
      <c r="A19" s="7" t="s">
        <v>39</v>
      </c>
      <c r="B19" s="8" t="s">
        <v>16</v>
      </c>
      <c r="C19" s="15" t="s">
        <v>40</v>
      </c>
      <c r="D19" s="9">
        <v>2</v>
      </c>
      <c r="E19" s="8" t="s">
        <v>17</v>
      </c>
      <c r="F19" s="40">
        <f>4585.79*1.05</f>
        <v>4815.08</v>
      </c>
      <c r="G19" s="43"/>
      <c r="H19" s="30">
        <f>D19*G19</f>
        <v>0</v>
      </c>
    </row>
    <row r="20" spans="1:8" ht="20.399999999999999" x14ac:dyDescent="0.3">
      <c r="A20" s="7" t="s">
        <v>41</v>
      </c>
      <c r="B20" s="8" t="s">
        <v>16</v>
      </c>
      <c r="C20" s="15" t="s">
        <v>42</v>
      </c>
      <c r="D20" s="9">
        <v>2</v>
      </c>
      <c r="E20" s="8" t="s">
        <v>17</v>
      </c>
      <c r="F20" s="40">
        <f>7355.37*1.05</f>
        <v>7723.14</v>
      </c>
      <c r="G20" s="43"/>
      <c r="H20" s="30">
        <f t="shared" ref="H20:H21" si="1">D20*G20</f>
        <v>0</v>
      </c>
    </row>
    <row r="21" spans="1:8" x14ac:dyDescent="0.3">
      <c r="A21" s="7" t="s">
        <v>43</v>
      </c>
      <c r="B21" s="8" t="s">
        <v>16</v>
      </c>
      <c r="C21" s="15" t="s">
        <v>44</v>
      </c>
      <c r="D21" s="9">
        <v>4</v>
      </c>
      <c r="E21" s="8" t="s">
        <v>17</v>
      </c>
      <c r="F21" s="40">
        <f>1568.39*1.05</f>
        <v>1646.81</v>
      </c>
      <c r="G21" s="43"/>
      <c r="H21" s="30">
        <f t="shared" si="1"/>
        <v>0</v>
      </c>
    </row>
    <row r="22" spans="1:8" ht="1.05" customHeight="1" x14ac:dyDescent="0.3">
      <c r="A22" s="10"/>
      <c r="B22" s="10"/>
      <c r="C22" s="16"/>
      <c r="D22" s="10"/>
      <c r="E22" s="10"/>
      <c r="F22" s="36"/>
      <c r="G22" s="44"/>
      <c r="H22" s="36"/>
    </row>
    <row r="23" spans="1:8" x14ac:dyDescent="0.3">
      <c r="A23" s="11" t="s">
        <v>45</v>
      </c>
      <c r="B23" s="11" t="s">
        <v>10</v>
      </c>
      <c r="C23" s="17" t="s">
        <v>46</v>
      </c>
      <c r="D23" s="12">
        <v>1</v>
      </c>
      <c r="E23" s="11" t="s">
        <v>11</v>
      </c>
      <c r="F23" s="42"/>
      <c r="G23" s="46"/>
      <c r="H23" s="32">
        <f>SUM(H24:H37)</f>
        <v>0</v>
      </c>
    </row>
    <row r="24" spans="1:8" x14ac:dyDescent="0.3">
      <c r="A24" s="7" t="s">
        <v>47</v>
      </c>
      <c r="B24" s="8" t="s">
        <v>16</v>
      </c>
      <c r="C24" s="15" t="s">
        <v>48</v>
      </c>
      <c r="D24" s="9">
        <v>1</v>
      </c>
      <c r="E24" s="8" t="s">
        <v>17</v>
      </c>
      <c r="F24" s="40">
        <f>113116.23*1.05</f>
        <v>118772.04</v>
      </c>
      <c r="G24" s="43"/>
      <c r="H24" s="30">
        <f>D24*G24</f>
        <v>0</v>
      </c>
    </row>
    <row r="25" spans="1:8" x14ac:dyDescent="0.3">
      <c r="A25" s="7" t="s">
        <v>49</v>
      </c>
      <c r="B25" s="8" t="s">
        <v>16</v>
      </c>
      <c r="C25" s="15" t="s">
        <v>50</v>
      </c>
      <c r="D25" s="9">
        <v>1</v>
      </c>
      <c r="E25" s="8" t="s">
        <v>17</v>
      </c>
      <c r="F25" s="40">
        <f>137624.61*1.05</f>
        <v>144505.84</v>
      </c>
      <c r="G25" s="43"/>
      <c r="H25" s="30">
        <f t="shared" ref="H25:H37" si="2">D25*G25</f>
        <v>0</v>
      </c>
    </row>
    <row r="26" spans="1:8" ht="20.399999999999999" x14ac:dyDescent="0.3">
      <c r="A26" s="7" t="s">
        <v>51</v>
      </c>
      <c r="B26" s="8" t="s">
        <v>16</v>
      </c>
      <c r="C26" s="15" t="s">
        <v>52</v>
      </c>
      <c r="D26" s="9">
        <v>2</v>
      </c>
      <c r="E26" s="8" t="s">
        <v>17</v>
      </c>
      <c r="F26" s="40">
        <f>17875.55*1.05</f>
        <v>18769.330000000002</v>
      </c>
      <c r="G26" s="43"/>
      <c r="H26" s="30">
        <f t="shared" si="2"/>
        <v>0</v>
      </c>
    </row>
    <row r="27" spans="1:8" ht="20.399999999999999" x14ac:dyDescent="0.3">
      <c r="A27" s="7" t="s">
        <v>53</v>
      </c>
      <c r="B27" s="8" t="s">
        <v>16</v>
      </c>
      <c r="C27" s="15" t="s">
        <v>54</v>
      </c>
      <c r="D27" s="9">
        <v>2</v>
      </c>
      <c r="E27" s="8" t="s">
        <v>17</v>
      </c>
      <c r="F27" s="40">
        <f>7285.13*1.05</f>
        <v>7649.39</v>
      </c>
      <c r="G27" s="43"/>
      <c r="H27" s="30">
        <f t="shared" si="2"/>
        <v>0</v>
      </c>
    </row>
    <row r="28" spans="1:8" x14ac:dyDescent="0.3">
      <c r="A28" s="7" t="s">
        <v>55</v>
      </c>
      <c r="B28" s="8" t="s">
        <v>16</v>
      </c>
      <c r="C28" s="15" t="s">
        <v>56</v>
      </c>
      <c r="D28" s="9">
        <v>2</v>
      </c>
      <c r="E28" s="8" t="s">
        <v>17</v>
      </c>
      <c r="F28" s="40">
        <f>8939.5*1.05</f>
        <v>9386.48</v>
      </c>
      <c r="G28" s="43"/>
      <c r="H28" s="30">
        <f t="shared" si="2"/>
        <v>0</v>
      </c>
    </row>
    <row r="29" spans="1:8" ht="20.399999999999999" x14ac:dyDescent="0.3">
      <c r="A29" s="7" t="s">
        <v>57</v>
      </c>
      <c r="B29" s="8" t="s">
        <v>16</v>
      </c>
      <c r="C29" s="15" t="s">
        <v>58</v>
      </c>
      <c r="D29" s="9">
        <v>2</v>
      </c>
      <c r="E29" s="8" t="s">
        <v>17</v>
      </c>
      <c r="F29" s="40">
        <f>2662.46*1.05</f>
        <v>2795.58</v>
      </c>
      <c r="G29" s="43"/>
      <c r="H29" s="30">
        <f t="shared" si="2"/>
        <v>0</v>
      </c>
    </row>
    <row r="30" spans="1:8" x14ac:dyDescent="0.3">
      <c r="A30" s="7" t="s">
        <v>59</v>
      </c>
      <c r="B30" s="8" t="s">
        <v>16</v>
      </c>
      <c r="C30" s="15" t="s">
        <v>61</v>
      </c>
      <c r="D30" s="9">
        <v>140</v>
      </c>
      <c r="E30" s="8" t="s">
        <v>60</v>
      </c>
      <c r="F30" s="40">
        <f>2.26*1.05</f>
        <v>2.37</v>
      </c>
      <c r="G30" s="43"/>
      <c r="H30" s="30">
        <f t="shared" si="2"/>
        <v>0</v>
      </c>
    </row>
    <row r="31" spans="1:8" x14ac:dyDescent="0.3">
      <c r="A31" s="7" t="s">
        <v>62</v>
      </c>
      <c r="B31" s="8" t="s">
        <v>16</v>
      </c>
      <c r="C31" s="15" t="s">
        <v>63</v>
      </c>
      <c r="D31" s="9">
        <v>2</v>
      </c>
      <c r="E31" s="8" t="s">
        <v>17</v>
      </c>
      <c r="F31" s="40">
        <f>178.76*1.05</f>
        <v>187.7</v>
      </c>
      <c r="G31" s="43"/>
      <c r="H31" s="30">
        <f t="shared" si="2"/>
        <v>0</v>
      </c>
    </row>
    <row r="32" spans="1:8" x14ac:dyDescent="0.3">
      <c r="A32" s="7" t="s">
        <v>64</v>
      </c>
      <c r="B32" s="8" t="s">
        <v>16</v>
      </c>
      <c r="C32" s="15" t="s">
        <v>65</v>
      </c>
      <c r="D32" s="9">
        <v>2</v>
      </c>
      <c r="E32" s="8" t="s">
        <v>17</v>
      </c>
      <c r="F32" s="40">
        <f>5419.1*1.05</f>
        <v>5690.06</v>
      </c>
      <c r="G32" s="43"/>
      <c r="H32" s="30">
        <f t="shared" si="2"/>
        <v>0</v>
      </c>
    </row>
    <row r="33" spans="1:8" x14ac:dyDescent="0.3">
      <c r="A33" s="7" t="s">
        <v>66</v>
      </c>
      <c r="B33" s="8" t="s">
        <v>16</v>
      </c>
      <c r="C33" s="15" t="s">
        <v>67</v>
      </c>
      <c r="D33" s="9">
        <v>2</v>
      </c>
      <c r="E33" s="8" t="s">
        <v>17</v>
      </c>
      <c r="F33" s="40">
        <f>3479.3*1.05</f>
        <v>3653.27</v>
      </c>
      <c r="G33" s="43"/>
      <c r="H33" s="30">
        <f t="shared" si="2"/>
        <v>0</v>
      </c>
    </row>
    <row r="34" spans="1:8" ht="20.399999999999999" x14ac:dyDescent="0.3">
      <c r="A34" s="7" t="s">
        <v>68</v>
      </c>
      <c r="B34" s="8" t="s">
        <v>16</v>
      </c>
      <c r="C34" s="15" t="s">
        <v>69</v>
      </c>
      <c r="D34" s="9">
        <v>2</v>
      </c>
      <c r="E34" s="8" t="s">
        <v>17</v>
      </c>
      <c r="F34" s="40">
        <f>1321.36*1.05</f>
        <v>1387.43</v>
      </c>
      <c r="G34" s="43"/>
      <c r="H34" s="30">
        <f t="shared" si="2"/>
        <v>0</v>
      </c>
    </row>
    <row r="35" spans="1:8" ht="30.6" x14ac:dyDescent="0.3">
      <c r="A35" s="7" t="s">
        <v>70</v>
      </c>
      <c r="B35" s="8" t="s">
        <v>16</v>
      </c>
      <c r="C35" s="15" t="s">
        <v>71</v>
      </c>
      <c r="D35" s="9">
        <v>2</v>
      </c>
      <c r="E35" s="8" t="s">
        <v>17</v>
      </c>
      <c r="F35" s="40">
        <f>421.69*1.05</f>
        <v>442.77</v>
      </c>
      <c r="G35" s="43"/>
      <c r="H35" s="30">
        <f t="shared" si="2"/>
        <v>0</v>
      </c>
    </row>
    <row r="36" spans="1:8" x14ac:dyDescent="0.3">
      <c r="A36" s="7" t="s">
        <v>72</v>
      </c>
      <c r="B36" s="8" t="s">
        <v>16</v>
      </c>
      <c r="C36" s="15" t="s">
        <v>73</v>
      </c>
      <c r="D36" s="9">
        <v>2</v>
      </c>
      <c r="E36" s="8" t="s">
        <v>17</v>
      </c>
      <c r="F36" s="40">
        <f>1140.26*1.05</f>
        <v>1197.27</v>
      </c>
      <c r="G36" s="43"/>
      <c r="H36" s="30">
        <f t="shared" si="2"/>
        <v>0</v>
      </c>
    </row>
    <row r="37" spans="1:8" ht="20.399999999999999" x14ac:dyDescent="0.3">
      <c r="A37" s="7" t="s">
        <v>74</v>
      </c>
      <c r="B37" s="8" t="s">
        <v>16</v>
      </c>
      <c r="C37" s="15" t="s">
        <v>75</v>
      </c>
      <c r="D37" s="9">
        <v>2</v>
      </c>
      <c r="E37" s="8" t="s">
        <v>17</v>
      </c>
      <c r="F37" s="40">
        <f>806.97*1.05</f>
        <v>847.32</v>
      </c>
      <c r="G37" s="43"/>
      <c r="H37" s="30">
        <f t="shared" si="2"/>
        <v>0</v>
      </c>
    </row>
    <row r="38" spans="1:8" ht="1.05" customHeight="1" x14ac:dyDescent="0.3">
      <c r="A38" s="10"/>
      <c r="B38" s="10"/>
      <c r="C38" s="16"/>
      <c r="D38" s="10"/>
      <c r="E38" s="10"/>
      <c r="F38" s="36"/>
      <c r="G38" s="44"/>
      <c r="H38" s="36"/>
    </row>
    <row r="39" spans="1:8" x14ac:dyDescent="0.3">
      <c r="A39" s="11" t="s">
        <v>76</v>
      </c>
      <c r="B39" s="11" t="s">
        <v>10</v>
      </c>
      <c r="C39" s="17" t="s">
        <v>77</v>
      </c>
      <c r="D39" s="12">
        <v>1</v>
      </c>
      <c r="E39" s="11" t="s">
        <v>11</v>
      </c>
      <c r="F39" s="42"/>
      <c r="G39" s="46"/>
      <c r="H39" s="32">
        <f>SUM(H40:H49)</f>
        <v>0</v>
      </c>
    </row>
    <row r="40" spans="1:8" ht="20.399999999999999" x14ac:dyDescent="0.3">
      <c r="A40" s="7" t="s">
        <v>78</v>
      </c>
      <c r="B40" s="8" t="s">
        <v>16</v>
      </c>
      <c r="C40" s="15" t="s">
        <v>79</v>
      </c>
      <c r="D40" s="9">
        <v>12</v>
      </c>
      <c r="E40" s="8" t="s">
        <v>17</v>
      </c>
      <c r="F40" s="40">
        <f>751.37*1.05</f>
        <v>788.94</v>
      </c>
      <c r="G40" s="43"/>
      <c r="H40" s="30">
        <f>D40*G40</f>
        <v>0</v>
      </c>
    </row>
    <row r="41" spans="1:8" ht="20.399999999999999" x14ac:dyDescent="0.3">
      <c r="A41" s="7" t="s">
        <v>80</v>
      </c>
      <c r="B41" s="8" t="s">
        <v>16</v>
      </c>
      <c r="C41" s="15" t="s">
        <v>81</v>
      </c>
      <c r="D41" s="9">
        <v>10</v>
      </c>
      <c r="E41" s="8" t="s">
        <v>17</v>
      </c>
      <c r="F41" s="40">
        <f>700.3*1.05</f>
        <v>735.32</v>
      </c>
      <c r="G41" s="43"/>
      <c r="H41" s="30">
        <f t="shared" ref="H41:H50" si="3">D41*G41</f>
        <v>0</v>
      </c>
    </row>
    <row r="42" spans="1:8" x14ac:dyDescent="0.3">
      <c r="A42" s="7" t="s">
        <v>82</v>
      </c>
      <c r="B42" s="8" t="s">
        <v>16</v>
      </c>
      <c r="C42" s="15" t="s">
        <v>83</v>
      </c>
      <c r="D42" s="9">
        <v>6</v>
      </c>
      <c r="E42" s="8" t="s">
        <v>17</v>
      </c>
      <c r="F42" s="40">
        <f>752.29*1.05</f>
        <v>789.9</v>
      </c>
      <c r="G42" s="43"/>
      <c r="H42" s="30">
        <f t="shared" si="3"/>
        <v>0</v>
      </c>
    </row>
    <row r="43" spans="1:8" x14ac:dyDescent="0.3">
      <c r="A43" s="7" t="s">
        <v>84</v>
      </c>
      <c r="B43" s="8" t="s">
        <v>16</v>
      </c>
      <c r="C43" s="15" t="s">
        <v>85</v>
      </c>
      <c r="D43" s="9">
        <v>4</v>
      </c>
      <c r="E43" s="8" t="s">
        <v>17</v>
      </c>
      <c r="F43" s="40">
        <f>650.76*1.05</f>
        <v>683.3</v>
      </c>
      <c r="G43" s="43"/>
      <c r="H43" s="30">
        <f t="shared" si="3"/>
        <v>0</v>
      </c>
    </row>
    <row r="44" spans="1:8" x14ac:dyDescent="0.3">
      <c r="A44" s="7" t="s">
        <v>86</v>
      </c>
      <c r="B44" s="8" t="s">
        <v>16</v>
      </c>
      <c r="C44" s="15" t="s">
        <v>87</v>
      </c>
      <c r="D44" s="9">
        <v>10</v>
      </c>
      <c r="E44" s="8" t="s">
        <v>17</v>
      </c>
      <c r="F44" s="40">
        <f>147.13*1.05</f>
        <v>154.49</v>
      </c>
      <c r="G44" s="43"/>
      <c r="H44" s="30">
        <f t="shared" si="3"/>
        <v>0</v>
      </c>
    </row>
    <row r="45" spans="1:8" x14ac:dyDescent="0.3">
      <c r="A45" s="7" t="s">
        <v>88</v>
      </c>
      <c r="B45" s="8" t="s">
        <v>16</v>
      </c>
      <c r="C45" s="15" t="s">
        <v>89</v>
      </c>
      <c r="D45" s="9">
        <v>2</v>
      </c>
      <c r="E45" s="8" t="s">
        <v>17</v>
      </c>
      <c r="F45" s="40">
        <f>783.26*1.05</f>
        <v>822.42</v>
      </c>
      <c r="G45" s="43"/>
      <c r="H45" s="30">
        <f t="shared" si="3"/>
        <v>0</v>
      </c>
    </row>
    <row r="46" spans="1:8" x14ac:dyDescent="0.3">
      <c r="A46" s="7" t="s">
        <v>90</v>
      </c>
      <c r="B46" s="8" t="s">
        <v>16</v>
      </c>
      <c r="C46" s="15" t="s">
        <v>91</v>
      </c>
      <c r="D46" s="9">
        <v>2</v>
      </c>
      <c r="E46" s="8" t="s">
        <v>17</v>
      </c>
      <c r="F46" s="40">
        <f>25103.55*1.05</f>
        <v>26358.73</v>
      </c>
      <c r="G46" s="43"/>
      <c r="H46" s="30">
        <f t="shared" si="3"/>
        <v>0</v>
      </c>
    </row>
    <row r="47" spans="1:8" x14ac:dyDescent="0.3">
      <c r="A47" s="7" t="s">
        <v>92</v>
      </c>
      <c r="B47" s="8" t="s">
        <v>16</v>
      </c>
      <c r="C47" s="15" t="s">
        <v>93</v>
      </c>
      <c r="D47" s="9">
        <v>2</v>
      </c>
      <c r="E47" s="8" t="s">
        <v>17</v>
      </c>
      <c r="F47" s="40">
        <f>6132.8*1.05</f>
        <v>6439.44</v>
      </c>
      <c r="G47" s="43"/>
      <c r="H47" s="30">
        <f t="shared" si="3"/>
        <v>0</v>
      </c>
    </row>
    <row r="48" spans="1:8" x14ac:dyDescent="0.3">
      <c r="A48" s="7" t="s">
        <v>94</v>
      </c>
      <c r="B48" s="8" t="s">
        <v>16</v>
      </c>
      <c r="C48" s="15" t="s">
        <v>95</v>
      </c>
      <c r="D48" s="9">
        <v>2</v>
      </c>
      <c r="E48" s="8" t="s">
        <v>17</v>
      </c>
      <c r="F48" s="40">
        <f>558.92*1.05</f>
        <v>586.87</v>
      </c>
      <c r="G48" s="43"/>
      <c r="H48" s="30">
        <f t="shared" si="3"/>
        <v>0</v>
      </c>
    </row>
    <row r="49" spans="1:8" x14ac:dyDescent="0.3">
      <c r="A49" s="7" t="s">
        <v>96</v>
      </c>
      <c r="B49" s="8" t="s">
        <v>16</v>
      </c>
      <c r="C49" s="15" t="s">
        <v>97</v>
      </c>
      <c r="D49" s="9">
        <v>2</v>
      </c>
      <c r="E49" s="8" t="s">
        <v>17</v>
      </c>
      <c r="F49" s="40">
        <f>106.61*1.05</f>
        <v>111.94</v>
      </c>
      <c r="G49" s="43"/>
      <c r="H49" s="30">
        <f t="shared" si="3"/>
        <v>0</v>
      </c>
    </row>
    <row r="50" spans="1:8" ht="1.05" customHeight="1" x14ac:dyDescent="0.3">
      <c r="A50" s="10"/>
      <c r="B50" s="10"/>
      <c r="C50" s="16"/>
      <c r="D50" s="10"/>
      <c r="E50" s="10"/>
      <c r="F50" s="36"/>
      <c r="G50" s="44"/>
      <c r="H50" s="33">
        <f t="shared" si="3"/>
        <v>0</v>
      </c>
    </row>
    <row r="51" spans="1:8" x14ac:dyDescent="0.3">
      <c r="A51" s="11" t="s">
        <v>98</v>
      </c>
      <c r="B51" s="11" t="s">
        <v>10</v>
      </c>
      <c r="C51" s="17" t="s">
        <v>99</v>
      </c>
      <c r="D51" s="12">
        <v>1</v>
      </c>
      <c r="E51" s="11" t="s">
        <v>11</v>
      </c>
      <c r="F51" s="42"/>
      <c r="G51" s="46"/>
      <c r="H51" s="32">
        <f>SUM(H52:H78)</f>
        <v>0</v>
      </c>
    </row>
    <row r="52" spans="1:8" x14ac:dyDescent="0.3">
      <c r="A52" s="7" t="s">
        <v>100</v>
      </c>
      <c r="B52" s="8" t="s">
        <v>16</v>
      </c>
      <c r="C52" s="15" t="s">
        <v>101</v>
      </c>
      <c r="D52" s="9">
        <v>1840</v>
      </c>
      <c r="E52" s="8" t="s">
        <v>60</v>
      </c>
      <c r="F52" s="40">
        <f>48.34*1.05</f>
        <v>50.76</v>
      </c>
      <c r="G52" s="43"/>
      <c r="H52" s="30">
        <f>D52*G52</f>
        <v>0</v>
      </c>
    </row>
    <row r="53" spans="1:8" x14ac:dyDescent="0.3">
      <c r="A53" s="7" t="s">
        <v>102</v>
      </c>
      <c r="B53" s="8" t="s">
        <v>16</v>
      </c>
      <c r="C53" s="15" t="s">
        <v>103</v>
      </c>
      <c r="D53" s="9">
        <v>120</v>
      </c>
      <c r="E53" s="8" t="s">
        <v>60</v>
      </c>
      <c r="F53" s="40">
        <f>34.72*1.05</f>
        <v>36.46</v>
      </c>
      <c r="G53" s="43"/>
      <c r="H53" s="30">
        <f t="shared" ref="H53:H78" si="4">D53*G53</f>
        <v>0</v>
      </c>
    </row>
    <row r="54" spans="1:8" x14ac:dyDescent="0.3">
      <c r="A54" s="7" t="s">
        <v>104</v>
      </c>
      <c r="B54" s="8" t="s">
        <v>16</v>
      </c>
      <c r="C54" s="15" t="s">
        <v>105</v>
      </c>
      <c r="D54" s="9">
        <v>160</v>
      </c>
      <c r="E54" s="8" t="s">
        <v>60</v>
      </c>
      <c r="F54" s="40">
        <f>24.76*1.05</f>
        <v>26</v>
      </c>
      <c r="G54" s="43"/>
      <c r="H54" s="30">
        <f t="shared" si="4"/>
        <v>0</v>
      </c>
    </row>
    <row r="55" spans="1:8" x14ac:dyDescent="0.3">
      <c r="A55" s="7" t="s">
        <v>106</v>
      </c>
      <c r="B55" s="8" t="s">
        <v>16</v>
      </c>
      <c r="C55" s="15" t="s">
        <v>107</v>
      </c>
      <c r="D55" s="9">
        <v>1610</v>
      </c>
      <c r="E55" s="8" t="s">
        <v>60</v>
      </c>
      <c r="F55" s="40">
        <f>18.96*1.05</f>
        <v>19.91</v>
      </c>
      <c r="G55" s="43"/>
      <c r="H55" s="30">
        <f t="shared" si="4"/>
        <v>0</v>
      </c>
    </row>
    <row r="56" spans="1:8" x14ac:dyDescent="0.3">
      <c r="A56" s="7" t="s">
        <v>108</v>
      </c>
      <c r="B56" s="8" t="s">
        <v>16</v>
      </c>
      <c r="C56" s="15" t="s">
        <v>109</v>
      </c>
      <c r="D56" s="9">
        <v>50</v>
      </c>
      <c r="E56" s="8" t="s">
        <v>60</v>
      </c>
      <c r="F56" s="40">
        <f>14.72*1.05</f>
        <v>15.46</v>
      </c>
      <c r="G56" s="43"/>
      <c r="H56" s="30">
        <f t="shared" si="4"/>
        <v>0</v>
      </c>
    </row>
    <row r="57" spans="1:8" x14ac:dyDescent="0.3">
      <c r="A57" s="7" t="s">
        <v>110</v>
      </c>
      <c r="B57" s="8" t="s">
        <v>16</v>
      </c>
      <c r="C57" s="15" t="s">
        <v>111</v>
      </c>
      <c r="D57" s="9">
        <v>1360</v>
      </c>
      <c r="E57" s="8" t="s">
        <v>60</v>
      </c>
      <c r="F57" s="40">
        <f>11.06*1.05</f>
        <v>11.61</v>
      </c>
      <c r="G57" s="43"/>
      <c r="H57" s="30">
        <f t="shared" si="4"/>
        <v>0</v>
      </c>
    </row>
    <row r="58" spans="1:8" x14ac:dyDescent="0.3">
      <c r="A58" s="7" t="s">
        <v>112</v>
      </c>
      <c r="B58" s="8" t="s">
        <v>16</v>
      </c>
      <c r="C58" s="15" t="s">
        <v>113</v>
      </c>
      <c r="D58" s="9">
        <v>15600</v>
      </c>
      <c r="E58" s="8" t="s">
        <v>60</v>
      </c>
      <c r="F58" s="40">
        <f>8.15*1.05</f>
        <v>8.56</v>
      </c>
      <c r="G58" s="43"/>
      <c r="H58" s="30">
        <f t="shared" si="4"/>
        <v>0</v>
      </c>
    </row>
    <row r="59" spans="1:8" x14ac:dyDescent="0.3">
      <c r="A59" s="7" t="s">
        <v>114</v>
      </c>
      <c r="B59" s="8" t="s">
        <v>16</v>
      </c>
      <c r="C59" s="15" t="s">
        <v>115</v>
      </c>
      <c r="D59" s="9">
        <v>2360</v>
      </c>
      <c r="E59" s="8" t="s">
        <v>60</v>
      </c>
      <c r="F59" s="40">
        <f>6.09*1.05</f>
        <v>6.39</v>
      </c>
      <c r="G59" s="43"/>
      <c r="H59" s="30">
        <f t="shared" si="4"/>
        <v>0</v>
      </c>
    </row>
    <row r="60" spans="1:8" x14ac:dyDescent="0.3">
      <c r="A60" s="7" t="s">
        <v>116</v>
      </c>
      <c r="B60" s="8" t="s">
        <v>16</v>
      </c>
      <c r="C60" s="15" t="s">
        <v>117</v>
      </c>
      <c r="D60" s="9">
        <v>50</v>
      </c>
      <c r="E60" s="8" t="s">
        <v>60</v>
      </c>
      <c r="F60" s="40">
        <f>2.02*1.05</f>
        <v>2.12</v>
      </c>
      <c r="G60" s="43"/>
      <c r="H60" s="30">
        <f t="shared" si="4"/>
        <v>0</v>
      </c>
    </row>
    <row r="61" spans="1:8" x14ac:dyDescent="0.3">
      <c r="A61" s="7" t="s">
        <v>118</v>
      </c>
      <c r="B61" s="8" t="s">
        <v>16</v>
      </c>
      <c r="C61" s="15" t="s">
        <v>119</v>
      </c>
      <c r="D61" s="9">
        <v>2370</v>
      </c>
      <c r="E61" s="8" t="s">
        <v>60</v>
      </c>
      <c r="F61" s="40">
        <f>2.98*1.05</f>
        <v>3.13</v>
      </c>
      <c r="G61" s="43"/>
      <c r="H61" s="30">
        <f t="shared" si="4"/>
        <v>0</v>
      </c>
    </row>
    <row r="62" spans="1:8" x14ac:dyDescent="0.3">
      <c r="A62" s="7" t="s">
        <v>120</v>
      </c>
      <c r="B62" s="8" t="s">
        <v>16</v>
      </c>
      <c r="C62" s="15" t="s">
        <v>121</v>
      </c>
      <c r="D62" s="9">
        <v>2300</v>
      </c>
      <c r="E62" s="8" t="s">
        <v>60</v>
      </c>
      <c r="F62" s="40">
        <f>4.17*1.05</f>
        <v>4.38</v>
      </c>
      <c r="G62" s="43"/>
      <c r="H62" s="30">
        <f t="shared" si="4"/>
        <v>0</v>
      </c>
    </row>
    <row r="63" spans="1:8" x14ac:dyDescent="0.3">
      <c r="A63" s="7" t="s">
        <v>122</v>
      </c>
      <c r="B63" s="8" t="s">
        <v>16</v>
      </c>
      <c r="C63" s="15" t="s">
        <v>123</v>
      </c>
      <c r="D63" s="9">
        <v>10190</v>
      </c>
      <c r="E63" s="8" t="s">
        <v>60</v>
      </c>
      <c r="F63" s="40">
        <f>5.63*1.05</f>
        <v>5.91</v>
      </c>
      <c r="G63" s="43"/>
      <c r="H63" s="30">
        <f t="shared" si="4"/>
        <v>0</v>
      </c>
    </row>
    <row r="64" spans="1:8" x14ac:dyDescent="0.3">
      <c r="A64" s="7" t="s">
        <v>124</v>
      </c>
      <c r="B64" s="8" t="s">
        <v>16</v>
      </c>
      <c r="C64" s="15" t="s">
        <v>125</v>
      </c>
      <c r="D64" s="9">
        <v>80</v>
      </c>
      <c r="E64" s="8" t="s">
        <v>60</v>
      </c>
      <c r="F64" s="40">
        <f>7.9*1.05</f>
        <v>8.3000000000000007</v>
      </c>
      <c r="G64" s="43"/>
      <c r="H64" s="30">
        <f t="shared" si="4"/>
        <v>0</v>
      </c>
    </row>
    <row r="65" spans="1:8" x14ac:dyDescent="0.3">
      <c r="A65" s="7" t="s">
        <v>126</v>
      </c>
      <c r="B65" s="8" t="s">
        <v>16</v>
      </c>
      <c r="C65" s="15" t="s">
        <v>127</v>
      </c>
      <c r="D65" s="9">
        <v>940</v>
      </c>
      <c r="E65" s="8" t="s">
        <v>60</v>
      </c>
      <c r="F65" s="40">
        <f>11.41*1.05</f>
        <v>11.98</v>
      </c>
      <c r="G65" s="43"/>
      <c r="H65" s="30">
        <f t="shared" si="4"/>
        <v>0</v>
      </c>
    </row>
    <row r="66" spans="1:8" x14ac:dyDescent="0.3">
      <c r="A66" s="7" t="s">
        <v>128</v>
      </c>
      <c r="B66" s="8" t="s">
        <v>16</v>
      </c>
      <c r="C66" s="15" t="s">
        <v>129</v>
      </c>
      <c r="D66" s="9">
        <v>20</v>
      </c>
      <c r="E66" s="8" t="s">
        <v>60</v>
      </c>
      <c r="F66" s="40">
        <f>3.19*1.05</f>
        <v>3.35</v>
      </c>
      <c r="G66" s="43"/>
      <c r="H66" s="30">
        <f t="shared" si="4"/>
        <v>0</v>
      </c>
    </row>
    <row r="67" spans="1:8" x14ac:dyDescent="0.3">
      <c r="A67" s="7" t="s">
        <v>130</v>
      </c>
      <c r="B67" s="8" t="s">
        <v>16</v>
      </c>
      <c r="C67" s="15" t="s">
        <v>131</v>
      </c>
      <c r="D67" s="9">
        <v>20</v>
      </c>
      <c r="E67" s="8" t="s">
        <v>60</v>
      </c>
      <c r="F67" s="40">
        <f>4.34*1.05</f>
        <v>4.5599999999999996</v>
      </c>
      <c r="G67" s="43"/>
      <c r="H67" s="30">
        <f t="shared" si="4"/>
        <v>0</v>
      </c>
    </row>
    <row r="68" spans="1:8" x14ac:dyDescent="0.3">
      <c r="A68" s="7" t="s">
        <v>132</v>
      </c>
      <c r="B68" s="8" t="s">
        <v>16</v>
      </c>
      <c r="C68" s="15" t="s">
        <v>133</v>
      </c>
      <c r="D68" s="9">
        <v>50</v>
      </c>
      <c r="E68" s="8" t="s">
        <v>60</v>
      </c>
      <c r="F68" s="40">
        <f>6.57*1.05</f>
        <v>6.9</v>
      </c>
      <c r="G68" s="43"/>
      <c r="H68" s="30">
        <f t="shared" si="4"/>
        <v>0</v>
      </c>
    </row>
    <row r="69" spans="1:8" x14ac:dyDescent="0.3">
      <c r="A69" s="7" t="s">
        <v>134</v>
      </c>
      <c r="B69" s="8" t="s">
        <v>16</v>
      </c>
      <c r="C69" s="15" t="s">
        <v>135</v>
      </c>
      <c r="D69" s="9">
        <v>3770</v>
      </c>
      <c r="E69" s="8" t="s">
        <v>60</v>
      </c>
      <c r="F69" s="40">
        <f>8.07*1.05</f>
        <v>8.4700000000000006</v>
      </c>
      <c r="G69" s="43"/>
      <c r="H69" s="30">
        <f t="shared" si="4"/>
        <v>0</v>
      </c>
    </row>
    <row r="70" spans="1:8" x14ac:dyDescent="0.3">
      <c r="A70" s="7" t="s">
        <v>136</v>
      </c>
      <c r="B70" s="8" t="s">
        <v>16</v>
      </c>
      <c r="C70" s="15" t="s">
        <v>137</v>
      </c>
      <c r="D70" s="9">
        <v>5250</v>
      </c>
      <c r="E70" s="8" t="s">
        <v>60</v>
      </c>
      <c r="F70" s="40">
        <f>12.25*1.05</f>
        <v>12.86</v>
      </c>
      <c r="G70" s="43"/>
      <c r="H70" s="30">
        <f t="shared" si="4"/>
        <v>0</v>
      </c>
    </row>
    <row r="71" spans="1:8" x14ac:dyDescent="0.3">
      <c r="A71" s="7" t="s">
        <v>138</v>
      </c>
      <c r="B71" s="8" t="s">
        <v>16</v>
      </c>
      <c r="C71" s="15" t="s">
        <v>139</v>
      </c>
      <c r="D71" s="9">
        <v>2290</v>
      </c>
      <c r="E71" s="8" t="s">
        <v>60</v>
      </c>
      <c r="F71" s="40">
        <f>17.15*1.05</f>
        <v>18.010000000000002</v>
      </c>
      <c r="G71" s="43"/>
      <c r="H71" s="30">
        <f t="shared" si="4"/>
        <v>0</v>
      </c>
    </row>
    <row r="72" spans="1:8" ht="20.399999999999999" x14ac:dyDescent="0.3">
      <c r="A72" s="7" t="s">
        <v>140</v>
      </c>
      <c r="B72" s="8" t="s">
        <v>16</v>
      </c>
      <c r="C72" s="15" t="s">
        <v>141</v>
      </c>
      <c r="D72" s="9">
        <v>50</v>
      </c>
      <c r="E72" s="8" t="s">
        <v>60</v>
      </c>
      <c r="F72" s="40">
        <f>7.85*1.05</f>
        <v>8.24</v>
      </c>
      <c r="G72" s="43"/>
      <c r="H72" s="30">
        <f t="shared" si="4"/>
        <v>0</v>
      </c>
    </row>
    <row r="73" spans="1:8" ht="20.399999999999999" x14ac:dyDescent="0.3">
      <c r="A73" s="7" t="s">
        <v>142</v>
      </c>
      <c r="B73" s="8" t="s">
        <v>16</v>
      </c>
      <c r="C73" s="15" t="s">
        <v>143</v>
      </c>
      <c r="D73" s="9">
        <v>250</v>
      </c>
      <c r="E73" s="8" t="s">
        <v>60</v>
      </c>
      <c r="F73" s="40">
        <f>18*1.05</f>
        <v>18.899999999999999</v>
      </c>
      <c r="G73" s="43"/>
      <c r="H73" s="30">
        <f t="shared" si="4"/>
        <v>0</v>
      </c>
    </row>
    <row r="74" spans="1:8" ht="20.399999999999999" x14ac:dyDescent="0.3">
      <c r="A74" s="7" t="s">
        <v>144</v>
      </c>
      <c r="B74" s="8" t="s">
        <v>16</v>
      </c>
      <c r="C74" s="15" t="s">
        <v>145</v>
      </c>
      <c r="D74" s="9">
        <v>50</v>
      </c>
      <c r="E74" s="8" t="s">
        <v>60</v>
      </c>
      <c r="F74" s="40">
        <f>3.66*1.05</f>
        <v>3.84</v>
      </c>
      <c r="G74" s="43"/>
      <c r="H74" s="30">
        <f t="shared" si="4"/>
        <v>0</v>
      </c>
    </row>
    <row r="75" spans="1:8" ht="20.399999999999999" x14ac:dyDescent="0.3">
      <c r="A75" s="7" t="s">
        <v>146</v>
      </c>
      <c r="B75" s="8" t="s">
        <v>16</v>
      </c>
      <c r="C75" s="15" t="s">
        <v>147</v>
      </c>
      <c r="D75" s="9">
        <v>280</v>
      </c>
      <c r="E75" s="8" t="s">
        <v>60</v>
      </c>
      <c r="F75" s="40">
        <f>5.03*1.05</f>
        <v>5.28</v>
      </c>
      <c r="G75" s="43"/>
      <c r="H75" s="30">
        <f t="shared" si="4"/>
        <v>0</v>
      </c>
    </row>
    <row r="76" spans="1:8" x14ac:dyDescent="0.3">
      <c r="A76" s="7" t="s">
        <v>148</v>
      </c>
      <c r="B76" s="8" t="s">
        <v>16</v>
      </c>
      <c r="C76" s="15" t="s">
        <v>149</v>
      </c>
      <c r="D76" s="9">
        <v>1</v>
      </c>
      <c r="E76" s="8" t="s">
        <v>17</v>
      </c>
      <c r="F76" s="40">
        <f>5117*1.05</f>
        <v>5372.85</v>
      </c>
      <c r="G76" s="43"/>
      <c r="H76" s="30">
        <f t="shared" si="4"/>
        <v>0</v>
      </c>
    </row>
    <row r="77" spans="1:8" x14ac:dyDescent="0.3">
      <c r="A77" s="7" t="s">
        <v>150</v>
      </c>
      <c r="B77" s="8" t="s">
        <v>16</v>
      </c>
      <c r="C77" s="15" t="s">
        <v>151</v>
      </c>
      <c r="D77" s="9">
        <v>1000</v>
      </c>
      <c r="E77" s="8" t="s">
        <v>60</v>
      </c>
      <c r="F77" s="40">
        <f>18.04*1.05</f>
        <v>18.940000000000001</v>
      </c>
      <c r="G77" s="43"/>
      <c r="H77" s="30">
        <f t="shared" si="4"/>
        <v>0</v>
      </c>
    </row>
    <row r="78" spans="1:8" ht="20.399999999999999" x14ac:dyDescent="0.3">
      <c r="A78" s="7" t="s">
        <v>152</v>
      </c>
      <c r="B78" s="8" t="s">
        <v>16</v>
      </c>
      <c r="C78" s="15" t="s">
        <v>153</v>
      </c>
      <c r="D78" s="9">
        <v>1600</v>
      </c>
      <c r="E78" s="8" t="s">
        <v>60</v>
      </c>
      <c r="F78" s="40">
        <f>20.1*1.05</f>
        <v>21.11</v>
      </c>
      <c r="G78" s="43"/>
      <c r="H78" s="30">
        <f t="shared" si="4"/>
        <v>0</v>
      </c>
    </row>
    <row r="79" spans="1:8" ht="1.05" customHeight="1" x14ac:dyDescent="0.3">
      <c r="A79" s="10"/>
      <c r="B79" s="10"/>
      <c r="C79" s="16"/>
      <c r="D79" s="10"/>
      <c r="E79" s="10"/>
      <c r="F79" s="36"/>
      <c r="G79" s="44"/>
      <c r="H79" s="36"/>
    </row>
    <row r="80" spans="1:8" x14ac:dyDescent="0.3">
      <c r="A80" s="11" t="s">
        <v>154</v>
      </c>
      <c r="B80" s="11" t="s">
        <v>10</v>
      </c>
      <c r="C80" s="17" t="s">
        <v>155</v>
      </c>
      <c r="D80" s="12">
        <v>1</v>
      </c>
      <c r="E80" s="11" t="s">
        <v>11</v>
      </c>
      <c r="F80" s="42"/>
      <c r="G80" s="46"/>
      <c r="H80" s="32">
        <f>SUM(H81:H92)</f>
        <v>0</v>
      </c>
    </row>
    <row r="81" spans="1:8" ht="20.399999999999999" x14ac:dyDescent="0.3">
      <c r="A81" s="7" t="s">
        <v>156</v>
      </c>
      <c r="B81" s="8" t="s">
        <v>16</v>
      </c>
      <c r="C81" s="15" t="s">
        <v>157</v>
      </c>
      <c r="D81" s="9">
        <v>2720</v>
      </c>
      <c r="E81" s="8" t="s">
        <v>60</v>
      </c>
      <c r="F81" s="40">
        <f>53.82*1.05</f>
        <v>56.51</v>
      </c>
      <c r="G81" s="43"/>
      <c r="H81" s="30">
        <f>D81*G81</f>
        <v>0</v>
      </c>
    </row>
    <row r="82" spans="1:8" ht="20.399999999999999" x14ac:dyDescent="0.3">
      <c r="A82" s="7" t="s">
        <v>158</v>
      </c>
      <c r="B82" s="8" t="s">
        <v>16</v>
      </c>
      <c r="C82" s="15" t="s">
        <v>159</v>
      </c>
      <c r="D82" s="9">
        <v>470</v>
      </c>
      <c r="E82" s="8" t="s">
        <v>60</v>
      </c>
      <c r="F82" s="40">
        <f>111.41*1.05</f>
        <v>116.98</v>
      </c>
      <c r="G82" s="43"/>
      <c r="H82" s="30">
        <f t="shared" ref="H82:H93" si="5">D82*G82</f>
        <v>0</v>
      </c>
    </row>
    <row r="83" spans="1:8" ht="20.399999999999999" x14ac:dyDescent="0.3">
      <c r="A83" s="7" t="s">
        <v>160</v>
      </c>
      <c r="B83" s="8" t="s">
        <v>16</v>
      </c>
      <c r="C83" s="15" t="s">
        <v>161</v>
      </c>
      <c r="D83" s="9">
        <v>80</v>
      </c>
      <c r="E83" s="8" t="s">
        <v>60</v>
      </c>
      <c r="F83" s="40">
        <f>82.01*1.05</f>
        <v>86.11</v>
      </c>
      <c r="G83" s="43"/>
      <c r="H83" s="30">
        <f t="shared" si="5"/>
        <v>0</v>
      </c>
    </row>
    <row r="84" spans="1:8" x14ac:dyDescent="0.3">
      <c r="A84" s="7" t="s">
        <v>162</v>
      </c>
      <c r="B84" s="8" t="s">
        <v>16</v>
      </c>
      <c r="C84" s="15" t="s">
        <v>163</v>
      </c>
      <c r="D84" s="9">
        <v>200</v>
      </c>
      <c r="E84" s="8" t="s">
        <v>60</v>
      </c>
      <c r="F84" s="40">
        <f>106.95*1.05</f>
        <v>112.3</v>
      </c>
      <c r="G84" s="43"/>
      <c r="H84" s="30">
        <f t="shared" si="5"/>
        <v>0</v>
      </c>
    </row>
    <row r="85" spans="1:8" x14ac:dyDescent="0.3">
      <c r="A85" s="7" t="s">
        <v>164</v>
      </c>
      <c r="B85" s="8" t="s">
        <v>16</v>
      </c>
      <c r="C85" s="15" t="s">
        <v>165</v>
      </c>
      <c r="D85" s="9">
        <v>1640</v>
      </c>
      <c r="E85" s="8" t="s">
        <v>60</v>
      </c>
      <c r="F85" s="40">
        <f>7.89*1.05</f>
        <v>8.2799999999999994</v>
      </c>
      <c r="G85" s="43"/>
      <c r="H85" s="30">
        <f t="shared" si="5"/>
        <v>0</v>
      </c>
    </row>
    <row r="86" spans="1:8" x14ac:dyDescent="0.3">
      <c r="A86" s="7" t="s">
        <v>166</v>
      </c>
      <c r="B86" s="8" t="s">
        <v>16</v>
      </c>
      <c r="C86" s="15" t="s">
        <v>167</v>
      </c>
      <c r="D86" s="9">
        <v>300</v>
      </c>
      <c r="E86" s="8" t="s">
        <v>60</v>
      </c>
      <c r="F86" s="40">
        <f>14.58*1.05</f>
        <v>15.31</v>
      </c>
      <c r="G86" s="43"/>
      <c r="H86" s="30">
        <f t="shared" si="5"/>
        <v>0</v>
      </c>
    </row>
    <row r="87" spans="1:8" x14ac:dyDescent="0.3">
      <c r="A87" s="7" t="s">
        <v>168</v>
      </c>
      <c r="B87" s="8" t="s">
        <v>16</v>
      </c>
      <c r="C87" s="15" t="s">
        <v>169</v>
      </c>
      <c r="D87" s="9">
        <v>300</v>
      </c>
      <c r="E87" s="8" t="s">
        <v>60</v>
      </c>
      <c r="F87" s="40">
        <f>3.54*1.05</f>
        <v>3.72</v>
      </c>
      <c r="G87" s="43"/>
      <c r="H87" s="30">
        <f t="shared" si="5"/>
        <v>0</v>
      </c>
    </row>
    <row r="88" spans="1:8" x14ac:dyDescent="0.3">
      <c r="A88" s="7" t="s">
        <v>170</v>
      </c>
      <c r="B88" s="8" t="s">
        <v>16</v>
      </c>
      <c r="C88" s="15" t="s">
        <v>171</v>
      </c>
      <c r="D88" s="9">
        <v>300</v>
      </c>
      <c r="E88" s="8" t="s">
        <v>60</v>
      </c>
      <c r="F88" s="40">
        <f>3.88*1.05</f>
        <v>4.07</v>
      </c>
      <c r="G88" s="43"/>
      <c r="H88" s="30">
        <f t="shared" si="5"/>
        <v>0</v>
      </c>
    </row>
    <row r="89" spans="1:8" x14ac:dyDescent="0.3">
      <c r="A89" s="7" t="s">
        <v>172</v>
      </c>
      <c r="B89" s="8" t="s">
        <v>16</v>
      </c>
      <c r="C89" s="15" t="s">
        <v>173</v>
      </c>
      <c r="D89" s="9">
        <v>300</v>
      </c>
      <c r="E89" s="8" t="s">
        <v>60</v>
      </c>
      <c r="F89" s="40">
        <f>4.26*1.05</f>
        <v>4.47</v>
      </c>
      <c r="G89" s="43"/>
      <c r="H89" s="30">
        <f t="shared" si="5"/>
        <v>0</v>
      </c>
    </row>
    <row r="90" spans="1:8" x14ac:dyDescent="0.3">
      <c r="A90" s="7" t="s">
        <v>174</v>
      </c>
      <c r="B90" s="8" t="s">
        <v>16</v>
      </c>
      <c r="C90" s="15" t="s">
        <v>175</v>
      </c>
      <c r="D90" s="9">
        <v>300</v>
      </c>
      <c r="E90" s="8" t="s">
        <v>60</v>
      </c>
      <c r="F90" s="40">
        <f>5.19*1.05</f>
        <v>5.45</v>
      </c>
      <c r="G90" s="43"/>
      <c r="H90" s="30">
        <f t="shared" si="5"/>
        <v>0</v>
      </c>
    </row>
    <row r="91" spans="1:8" x14ac:dyDescent="0.3">
      <c r="A91" s="7" t="s">
        <v>176</v>
      </c>
      <c r="B91" s="8" t="s">
        <v>16</v>
      </c>
      <c r="C91" s="15" t="s">
        <v>177</v>
      </c>
      <c r="D91" s="9">
        <v>315</v>
      </c>
      <c r="E91" s="8" t="s">
        <v>60</v>
      </c>
      <c r="F91" s="40">
        <f>6.47*1.05</f>
        <v>6.79</v>
      </c>
      <c r="G91" s="43"/>
      <c r="H91" s="30">
        <f t="shared" si="5"/>
        <v>0</v>
      </c>
    </row>
    <row r="92" spans="1:8" x14ac:dyDescent="0.3">
      <c r="A92" s="7" t="s">
        <v>178</v>
      </c>
      <c r="B92" s="8" t="s">
        <v>16</v>
      </c>
      <c r="C92" s="15" t="s">
        <v>179</v>
      </c>
      <c r="D92" s="9">
        <v>400</v>
      </c>
      <c r="E92" s="8" t="s">
        <v>60</v>
      </c>
      <c r="F92" s="40">
        <f>6.34*1.05</f>
        <v>6.66</v>
      </c>
      <c r="G92" s="43"/>
      <c r="H92" s="30">
        <f t="shared" si="5"/>
        <v>0</v>
      </c>
    </row>
    <row r="93" spans="1:8" ht="1.05" customHeight="1" x14ac:dyDescent="0.3">
      <c r="A93" s="10"/>
      <c r="B93" s="10"/>
      <c r="C93" s="16"/>
      <c r="D93" s="10"/>
      <c r="E93" s="10"/>
      <c r="F93" s="36"/>
      <c r="G93" s="44"/>
      <c r="H93" s="33">
        <f t="shared" si="5"/>
        <v>0</v>
      </c>
    </row>
    <row r="94" spans="1:8" x14ac:dyDescent="0.3">
      <c r="A94" s="11" t="s">
        <v>180</v>
      </c>
      <c r="B94" s="11" t="s">
        <v>10</v>
      </c>
      <c r="C94" s="17" t="s">
        <v>181</v>
      </c>
      <c r="D94" s="12">
        <v>1</v>
      </c>
      <c r="E94" s="11" t="s">
        <v>11</v>
      </c>
      <c r="F94" s="42"/>
      <c r="G94" s="46"/>
      <c r="H94" s="32">
        <f>SUM(H95:H97)</f>
        <v>0</v>
      </c>
    </row>
    <row r="95" spans="1:8" ht="20.399999999999999" x14ac:dyDescent="0.3">
      <c r="A95" s="7" t="s">
        <v>182</v>
      </c>
      <c r="B95" s="8" t="s">
        <v>16</v>
      </c>
      <c r="C95" s="15" t="s">
        <v>183</v>
      </c>
      <c r="D95" s="9">
        <v>75</v>
      </c>
      <c r="E95" s="8" t="s">
        <v>17</v>
      </c>
      <c r="F95" s="40">
        <f>40.35*1.05</f>
        <v>42.37</v>
      </c>
      <c r="G95" s="43"/>
      <c r="H95" s="30">
        <f>D95*G95</f>
        <v>0</v>
      </c>
    </row>
    <row r="96" spans="1:8" x14ac:dyDescent="0.3">
      <c r="A96" s="7" t="s">
        <v>184</v>
      </c>
      <c r="B96" s="8" t="s">
        <v>16</v>
      </c>
      <c r="C96" s="15" t="s">
        <v>185</v>
      </c>
      <c r="D96" s="9">
        <v>79</v>
      </c>
      <c r="E96" s="8" t="s">
        <v>17</v>
      </c>
      <c r="F96" s="40">
        <f>98.58*1.05</f>
        <v>103.51</v>
      </c>
      <c r="G96" s="43"/>
      <c r="H96" s="30">
        <f t="shared" ref="H96:H97" si="6">D96*G96</f>
        <v>0</v>
      </c>
    </row>
    <row r="97" spans="1:8" ht="30.6" x14ac:dyDescent="0.3">
      <c r="A97" s="7" t="s">
        <v>186</v>
      </c>
      <c r="B97" s="8" t="s">
        <v>16</v>
      </c>
      <c r="C97" s="15" t="s">
        <v>187</v>
      </c>
      <c r="D97" s="9">
        <v>4</v>
      </c>
      <c r="E97" s="8" t="s">
        <v>17</v>
      </c>
      <c r="F97" s="40">
        <f>158.08*1.05</f>
        <v>165.98</v>
      </c>
      <c r="G97" s="43"/>
      <c r="H97" s="30">
        <f t="shared" si="6"/>
        <v>0</v>
      </c>
    </row>
    <row r="98" spans="1:8" ht="1.05" customHeight="1" x14ac:dyDescent="0.3">
      <c r="A98" s="10"/>
      <c r="B98" s="10"/>
      <c r="C98" s="16"/>
      <c r="D98" s="10"/>
      <c r="E98" s="10"/>
      <c r="F98" s="36"/>
      <c r="G98" s="44"/>
      <c r="H98" s="36"/>
    </row>
    <row r="99" spans="1:8" x14ac:dyDescent="0.3">
      <c r="A99" s="11" t="s">
        <v>188</v>
      </c>
      <c r="B99" s="11" t="s">
        <v>10</v>
      </c>
      <c r="C99" s="17" t="s">
        <v>189</v>
      </c>
      <c r="D99" s="12">
        <v>1</v>
      </c>
      <c r="E99" s="11" t="s">
        <v>11</v>
      </c>
      <c r="F99" s="42"/>
      <c r="G99" s="46"/>
      <c r="H99" s="32">
        <f>SUM(H100:H112)</f>
        <v>0</v>
      </c>
    </row>
    <row r="100" spans="1:8" ht="20.399999999999999" x14ac:dyDescent="0.3">
      <c r="A100" s="7" t="s">
        <v>190</v>
      </c>
      <c r="B100" s="8" t="s">
        <v>16</v>
      </c>
      <c r="C100" s="15" t="s">
        <v>191</v>
      </c>
      <c r="D100" s="9">
        <v>100</v>
      </c>
      <c r="E100" s="8" t="s">
        <v>60</v>
      </c>
      <c r="F100" s="40">
        <f>271.45*1.05</f>
        <v>285.02</v>
      </c>
      <c r="G100" s="43"/>
      <c r="H100" s="30">
        <f>D100*G100</f>
        <v>0</v>
      </c>
    </row>
    <row r="101" spans="1:8" ht="20.399999999999999" x14ac:dyDescent="0.3">
      <c r="A101" s="7" t="s">
        <v>192</v>
      </c>
      <c r="B101" s="8" t="s">
        <v>16</v>
      </c>
      <c r="C101" s="15" t="s">
        <v>193</v>
      </c>
      <c r="D101" s="9">
        <v>1590</v>
      </c>
      <c r="E101" s="8" t="s">
        <v>60</v>
      </c>
      <c r="F101" s="40">
        <f>241.45*1.05</f>
        <v>253.52</v>
      </c>
      <c r="G101" s="43"/>
      <c r="H101" s="30">
        <f t="shared" ref="H101:H112" si="7">D101*G101</f>
        <v>0</v>
      </c>
    </row>
    <row r="102" spans="1:8" ht="20.399999999999999" x14ac:dyDescent="0.3">
      <c r="A102" s="7" t="s">
        <v>194</v>
      </c>
      <c r="B102" s="8" t="s">
        <v>16</v>
      </c>
      <c r="C102" s="15" t="s">
        <v>195</v>
      </c>
      <c r="D102" s="9">
        <v>40</v>
      </c>
      <c r="E102" s="8" t="s">
        <v>60</v>
      </c>
      <c r="F102" s="40">
        <f>214.45*1.05</f>
        <v>225.17</v>
      </c>
      <c r="G102" s="43"/>
      <c r="H102" s="30">
        <f t="shared" si="7"/>
        <v>0</v>
      </c>
    </row>
    <row r="103" spans="1:8" ht="20.399999999999999" x14ac:dyDescent="0.3">
      <c r="A103" s="7" t="s">
        <v>196</v>
      </c>
      <c r="B103" s="8" t="s">
        <v>16</v>
      </c>
      <c r="C103" s="15" t="s">
        <v>197</v>
      </c>
      <c r="D103" s="9">
        <v>1368</v>
      </c>
      <c r="E103" s="8" t="s">
        <v>60</v>
      </c>
      <c r="F103" s="40">
        <f>178.6*1.05</f>
        <v>187.53</v>
      </c>
      <c r="G103" s="43"/>
      <c r="H103" s="30">
        <f t="shared" si="7"/>
        <v>0</v>
      </c>
    </row>
    <row r="104" spans="1:8" x14ac:dyDescent="0.3">
      <c r="A104" s="7" t="s">
        <v>198</v>
      </c>
      <c r="B104" s="8" t="s">
        <v>16</v>
      </c>
      <c r="C104" s="15" t="s">
        <v>199</v>
      </c>
      <c r="D104" s="9">
        <v>32</v>
      </c>
      <c r="E104" s="8" t="s">
        <v>60</v>
      </c>
      <c r="F104" s="40">
        <f>125.73*1.05</f>
        <v>132.02000000000001</v>
      </c>
      <c r="G104" s="43"/>
      <c r="H104" s="30">
        <f t="shared" si="7"/>
        <v>0</v>
      </c>
    </row>
    <row r="105" spans="1:8" ht="20.399999999999999" x14ac:dyDescent="0.3">
      <c r="A105" s="7" t="s">
        <v>200</v>
      </c>
      <c r="B105" s="8" t="s">
        <v>16</v>
      </c>
      <c r="C105" s="15" t="s">
        <v>201</v>
      </c>
      <c r="D105" s="9">
        <v>1120</v>
      </c>
      <c r="E105" s="8" t="s">
        <v>17</v>
      </c>
      <c r="F105" s="40">
        <f>37.1*1.05</f>
        <v>38.96</v>
      </c>
      <c r="G105" s="43"/>
      <c r="H105" s="30">
        <f t="shared" si="7"/>
        <v>0</v>
      </c>
    </row>
    <row r="106" spans="1:8" ht="20.399999999999999" x14ac:dyDescent="0.3">
      <c r="A106" s="7" t="s">
        <v>202</v>
      </c>
      <c r="B106" s="8" t="s">
        <v>16</v>
      </c>
      <c r="C106" s="15" t="s">
        <v>203</v>
      </c>
      <c r="D106" s="9">
        <v>170</v>
      </c>
      <c r="E106" s="8" t="s">
        <v>17</v>
      </c>
      <c r="F106" s="40">
        <f>107.9*1.05</f>
        <v>113.3</v>
      </c>
      <c r="G106" s="43"/>
      <c r="H106" s="30">
        <f t="shared" si="7"/>
        <v>0</v>
      </c>
    </row>
    <row r="107" spans="1:8" ht="20.399999999999999" x14ac:dyDescent="0.3">
      <c r="A107" s="7" t="s">
        <v>204</v>
      </c>
      <c r="B107" s="8" t="s">
        <v>16</v>
      </c>
      <c r="C107" s="15" t="s">
        <v>205</v>
      </c>
      <c r="D107" s="9">
        <v>41</v>
      </c>
      <c r="E107" s="8" t="s">
        <v>17</v>
      </c>
      <c r="F107" s="40">
        <f>90.41*1.05</f>
        <v>94.93</v>
      </c>
      <c r="G107" s="43"/>
      <c r="H107" s="30">
        <f t="shared" si="7"/>
        <v>0</v>
      </c>
    </row>
    <row r="108" spans="1:8" x14ac:dyDescent="0.3">
      <c r="A108" s="7" t="s">
        <v>206</v>
      </c>
      <c r="B108" s="8" t="s">
        <v>16</v>
      </c>
      <c r="C108" s="15" t="s">
        <v>207</v>
      </c>
      <c r="D108" s="9">
        <v>92</v>
      </c>
      <c r="E108" s="8" t="s">
        <v>17</v>
      </c>
      <c r="F108" s="40">
        <f>85.95*1.05</f>
        <v>90.25</v>
      </c>
      <c r="G108" s="43"/>
      <c r="H108" s="30">
        <f t="shared" si="7"/>
        <v>0</v>
      </c>
    </row>
    <row r="109" spans="1:8" x14ac:dyDescent="0.3">
      <c r="A109" s="7" t="s">
        <v>208</v>
      </c>
      <c r="B109" s="8" t="s">
        <v>16</v>
      </c>
      <c r="C109" s="15" t="s">
        <v>209</v>
      </c>
      <c r="D109" s="9">
        <v>133</v>
      </c>
      <c r="E109" s="8" t="s">
        <v>17</v>
      </c>
      <c r="F109" s="40">
        <f>57*1.05</f>
        <v>59.85</v>
      </c>
      <c r="G109" s="43"/>
      <c r="H109" s="30">
        <f t="shared" si="7"/>
        <v>0</v>
      </c>
    </row>
    <row r="110" spans="1:8" ht="20.399999999999999" x14ac:dyDescent="0.3">
      <c r="A110" s="7" t="s">
        <v>210</v>
      </c>
      <c r="B110" s="8" t="s">
        <v>16</v>
      </c>
      <c r="C110" s="15" t="s">
        <v>211</v>
      </c>
      <c r="D110" s="9">
        <v>2</v>
      </c>
      <c r="E110" s="8" t="s">
        <v>17</v>
      </c>
      <c r="F110" s="40">
        <f>224.43*1.05</f>
        <v>235.65</v>
      </c>
      <c r="G110" s="43"/>
      <c r="H110" s="30">
        <f t="shared" si="7"/>
        <v>0</v>
      </c>
    </row>
    <row r="111" spans="1:8" x14ac:dyDescent="0.3">
      <c r="A111" s="7" t="s">
        <v>212</v>
      </c>
      <c r="B111" s="8" t="s">
        <v>16</v>
      </c>
      <c r="C111" s="15" t="s">
        <v>213</v>
      </c>
      <c r="D111" s="9">
        <v>1</v>
      </c>
      <c r="E111" s="8" t="s">
        <v>17</v>
      </c>
      <c r="F111" s="40">
        <f>17886*1.05</f>
        <v>18780.3</v>
      </c>
      <c r="G111" s="43"/>
      <c r="H111" s="30">
        <f t="shared" si="7"/>
        <v>0</v>
      </c>
    </row>
    <row r="112" spans="1:8" ht="20.399999999999999" x14ac:dyDescent="0.3">
      <c r="A112" s="7" t="s">
        <v>214</v>
      </c>
      <c r="B112" s="8" t="s">
        <v>16</v>
      </c>
      <c r="C112" s="15" t="s">
        <v>215</v>
      </c>
      <c r="D112" s="9">
        <v>1</v>
      </c>
      <c r="E112" s="8" t="s">
        <v>17</v>
      </c>
      <c r="F112" s="40">
        <f>12255.3*1.05</f>
        <v>12868.07</v>
      </c>
      <c r="G112" s="43"/>
      <c r="H112" s="30">
        <f t="shared" si="7"/>
        <v>0</v>
      </c>
    </row>
    <row r="113" spans="1:8" ht="1.05" customHeight="1" x14ac:dyDescent="0.3">
      <c r="A113" s="10"/>
      <c r="B113" s="10"/>
      <c r="C113" s="16"/>
      <c r="D113" s="10"/>
      <c r="E113" s="10"/>
      <c r="F113" s="36"/>
      <c r="G113" s="44"/>
      <c r="H113" s="36"/>
    </row>
    <row r="114" spans="1:8" x14ac:dyDescent="0.3">
      <c r="A114" s="11" t="s">
        <v>216</v>
      </c>
      <c r="B114" s="11" t="s">
        <v>10</v>
      </c>
      <c r="C114" s="17" t="s">
        <v>217</v>
      </c>
      <c r="D114" s="12">
        <v>1</v>
      </c>
      <c r="E114" s="11" t="s">
        <v>11</v>
      </c>
      <c r="F114" s="42"/>
      <c r="G114" s="46"/>
      <c r="H114" s="32">
        <f>SUM(H115:H120)</f>
        <v>0</v>
      </c>
    </row>
    <row r="115" spans="1:8" ht="20.399999999999999" x14ac:dyDescent="0.3">
      <c r="A115" s="7" t="s">
        <v>218</v>
      </c>
      <c r="B115" s="8" t="s">
        <v>16</v>
      </c>
      <c r="C115" s="15" t="s">
        <v>219</v>
      </c>
      <c r="D115" s="9">
        <v>2</v>
      </c>
      <c r="E115" s="8" t="s">
        <v>17</v>
      </c>
      <c r="F115" s="40">
        <f>1300.65*1.05</f>
        <v>1365.68</v>
      </c>
      <c r="G115" s="43"/>
      <c r="H115" s="30">
        <f>D115*G115</f>
        <v>0</v>
      </c>
    </row>
    <row r="116" spans="1:8" x14ac:dyDescent="0.3">
      <c r="A116" s="7" t="s">
        <v>220</v>
      </c>
      <c r="B116" s="8" t="s">
        <v>16</v>
      </c>
      <c r="C116" s="15" t="s">
        <v>221</v>
      </c>
      <c r="D116" s="9">
        <v>2</v>
      </c>
      <c r="E116" s="8" t="s">
        <v>17</v>
      </c>
      <c r="F116" s="40">
        <f>3209.3*1.05</f>
        <v>3369.77</v>
      </c>
      <c r="G116" s="43"/>
      <c r="H116" s="30">
        <f t="shared" ref="H116:H120" si="8">D116*G116</f>
        <v>0</v>
      </c>
    </row>
    <row r="117" spans="1:8" x14ac:dyDescent="0.3">
      <c r="A117" s="7" t="s">
        <v>222</v>
      </c>
      <c r="B117" s="8" t="s">
        <v>16</v>
      </c>
      <c r="C117" s="15" t="s">
        <v>223</v>
      </c>
      <c r="D117" s="9">
        <v>2</v>
      </c>
      <c r="E117" s="8" t="s">
        <v>17</v>
      </c>
      <c r="F117" s="40">
        <f>7669.36*1.05</f>
        <v>8052.83</v>
      </c>
      <c r="G117" s="43"/>
      <c r="H117" s="30">
        <f t="shared" si="8"/>
        <v>0</v>
      </c>
    </row>
    <row r="118" spans="1:8" x14ac:dyDescent="0.3">
      <c r="A118" s="7" t="s">
        <v>224</v>
      </c>
      <c r="B118" s="8" t="s">
        <v>16</v>
      </c>
      <c r="C118" s="15" t="s">
        <v>225</v>
      </c>
      <c r="D118" s="9">
        <v>1</v>
      </c>
      <c r="E118" s="8" t="s">
        <v>17</v>
      </c>
      <c r="F118" s="40">
        <f>11373.65*1.05</f>
        <v>11942.33</v>
      </c>
      <c r="G118" s="43"/>
      <c r="H118" s="30">
        <f t="shared" si="8"/>
        <v>0</v>
      </c>
    </row>
    <row r="119" spans="1:8" x14ac:dyDescent="0.3">
      <c r="A119" s="7" t="s">
        <v>226</v>
      </c>
      <c r="B119" s="8" t="s">
        <v>16</v>
      </c>
      <c r="C119" s="15" t="s">
        <v>227</v>
      </c>
      <c r="D119" s="9">
        <v>1</v>
      </c>
      <c r="E119" s="8" t="s">
        <v>17</v>
      </c>
      <c r="F119" s="40">
        <f>12356.17*1.05</f>
        <v>12973.98</v>
      </c>
      <c r="G119" s="43"/>
      <c r="H119" s="30">
        <f t="shared" si="8"/>
        <v>0</v>
      </c>
    </row>
    <row r="120" spans="1:8" ht="20.399999999999999" x14ac:dyDescent="0.3">
      <c r="A120" s="7" t="s">
        <v>228</v>
      </c>
      <c r="B120" s="8" t="s">
        <v>16</v>
      </c>
      <c r="C120" s="15" t="s">
        <v>229</v>
      </c>
      <c r="D120" s="9">
        <v>2</v>
      </c>
      <c r="E120" s="8" t="s">
        <v>17</v>
      </c>
      <c r="F120" s="40">
        <f>1234.68*1.05</f>
        <v>1296.4100000000001</v>
      </c>
      <c r="G120" s="43"/>
      <c r="H120" s="30">
        <f t="shared" si="8"/>
        <v>0</v>
      </c>
    </row>
    <row r="121" spans="1:8" ht="1.05" customHeight="1" x14ac:dyDescent="0.3">
      <c r="A121" s="10"/>
      <c r="B121" s="10"/>
      <c r="C121" s="16"/>
      <c r="D121" s="10"/>
      <c r="E121" s="10"/>
      <c r="F121" s="36"/>
      <c r="G121" s="44"/>
      <c r="H121" s="36"/>
    </row>
    <row r="122" spans="1:8" x14ac:dyDescent="0.3">
      <c r="A122" s="11" t="s">
        <v>230</v>
      </c>
      <c r="B122" s="11" t="s">
        <v>10</v>
      </c>
      <c r="C122" s="17" t="s">
        <v>231</v>
      </c>
      <c r="D122" s="12">
        <v>1</v>
      </c>
      <c r="E122" s="11" t="s">
        <v>11</v>
      </c>
      <c r="F122" s="42"/>
      <c r="G122" s="46"/>
      <c r="H122" s="32">
        <f>SUM(H123:H126)</f>
        <v>0</v>
      </c>
    </row>
    <row r="123" spans="1:8" x14ac:dyDescent="0.3">
      <c r="A123" s="7" t="s">
        <v>232</v>
      </c>
      <c r="B123" s="8" t="s">
        <v>16</v>
      </c>
      <c r="C123" s="15" t="s">
        <v>233</v>
      </c>
      <c r="D123" s="9">
        <v>1</v>
      </c>
      <c r="E123" s="8" t="s">
        <v>17</v>
      </c>
      <c r="F123" s="40">
        <f>1688.74*1.05</f>
        <v>1773.18</v>
      </c>
      <c r="G123" s="43"/>
      <c r="H123" s="30">
        <f>D123*G123</f>
        <v>0</v>
      </c>
    </row>
    <row r="124" spans="1:8" ht="20.399999999999999" x14ac:dyDescent="0.3">
      <c r="A124" s="7" t="s">
        <v>234</v>
      </c>
      <c r="B124" s="8" t="s">
        <v>16</v>
      </c>
      <c r="C124" s="15" t="s">
        <v>235</v>
      </c>
      <c r="D124" s="9">
        <v>2</v>
      </c>
      <c r="E124" s="8" t="s">
        <v>17</v>
      </c>
      <c r="F124" s="40">
        <f>1858.52*1.05</f>
        <v>1951.45</v>
      </c>
      <c r="G124" s="43"/>
      <c r="H124" s="30">
        <f t="shared" ref="H124:H126" si="9">D124*G124</f>
        <v>0</v>
      </c>
    </row>
    <row r="125" spans="1:8" ht="20.399999999999999" x14ac:dyDescent="0.3">
      <c r="A125" s="7" t="s">
        <v>236</v>
      </c>
      <c r="B125" s="8" t="s">
        <v>16</v>
      </c>
      <c r="C125" s="15" t="s">
        <v>237</v>
      </c>
      <c r="D125" s="9">
        <v>1</v>
      </c>
      <c r="E125" s="8" t="s">
        <v>17</v>
      </c>
      <c r="F125" s="40">
        <f>3808*1.05</f>
        <v>3998.4</v>
      </c>
      <c r="G125" s="43"/>
      <c r="H125" s="30">
        <f t="shared" si="9"/>
        <v>0</v>
      </c>
    </row>
    <row r="126" spans="1:8" x14ac:dyDescent="0.3">
      <c r="A126" s="7" t="s">
        <v>238</v>
      </c>
      <c r="B126" s="8" t="s">
        <v>16</v>
      </c>
      <c r="C126" s="15" t="s">
        <v>239</v>
      </c>
      <c r="D126" s="9">
        <v>2</v>
      </c>
      <c r="E126" s="8" t="s">
        <v>17</v>
      </c>
      <c r="F126" s="40">
        <f>4115.6*1.05</f>
        <v>4321.38</v>
      </c>
      <c r="G126" s="43"/>
      <c r="H126" s="30">
        <f t="shared" si="9"/>
        <v>0</v>
      </c>
    </row>
    <row r="127" spans="1:8" ht="1.05" customHeight="1" x14ac:dyDescent="0.3">
      <c r="A127" s="10"/>
      <c r="B127" s="10"/>
      <c r="C127" s="16"/>
      <c r="D127" s="10"/>
      <c r="E127" s="10"/>
      <c r="F127" s="36"/>
      <c r="G127" s="44"/>
      <c r="H127" s="36"/>
    </row>
    <row r="128" spans="1:8" x14ac:dyDescent="0.3">
      <c r="A128" s="5" t="s">
        <v>240</v>
      </c>
      <c r="B128" s="5" t="s">
        <v>10</v>
      </c>
      <c r="C128" s="14" t="s">
        <v>241</v>
      </c>
      <c r="D128" s="6">
        <v>1</v>
      </c>
      <c r="E128" s="5" t="s">
        <v>11</v>
      </c>
      <c r="F128" s="41"/>
      <c r="G128" s="45"/>
      <c r="H128" s="29">
        <f>SUM(H129:H132)</f>
        <v>0</v>
      </c>
    </row>
    <row r="129" spans="1:8" ht="20.399999999999999" x14ac:dyDescent="0.3">
      <c r="A129" s="7" t="s">
        <v>242</v>
      </c>
      <c r="B129" s="8" t="s">
        <v>16</v>
      </c>
      <c r="C129" s="15" t="s">
        <v>243</v>
      </c>
      <c r="D129" s="9">
        <v>1</v>
      </c>
      <c r="E129" s="8" t="s">
        <v>17</v>
      </c>
      <c r="F129" s="40">
        <f>1313.5*1.05</f>
        <v>1379.18</v>
      </c>
      <c r="G129" s="43"/>
      <c r="H129" s="30">
        <f>D129*G129</f>
        <v>0</v>
      </c>
    </row>
    <row r="130" spans="1:8" x14ac:dyDescent="0.3">
      <c r="A130" s="7" t="s">
        <v>244</v>
      </c>
      <c r="B130" s="8" t="s">
        <v>16</v>
      </c>
      <c r="C130" s="15" t="s">
        <v>245</v>
      </c>
      <c r="D130" s="9">
        <v>1</v>
      </c>
      <c r="E130" s="8" t="s">
        <v>17</v>
      </c>
      <c r="F130" s="40">
        <f>3669.1*1.05</f>
        <v>3852.56</v>
      </c>
      <c r="G130" s="43"/>
      <c r="H130" s="30">
        <f t="shared" ref="H130:H132" si="10">D130*G130</f>
        <v>0</v>
      </c>
    </row>
    <row r="131" spans="1:8" ht="20.399999999999999" x14ac:dyDescent="0.3">
      <c r="A131" s="7" t="s">
        <v>246</v>
      </c>
      <c r="B131" s="8" t="s">
        <v>16</v>
      </c>
      <c r="C131" s="15" t="s">
        <v>247</v>
      </c>
      <c r="D131" s="9">
        <v>2</v>
      </c>
      <c r="E131" s="8" t="s">
        <v>17</v>
      </c>
      <c r="F131" s="40">
        <f>2751.56*1.05</f>
        <v>2889.14</v>
      </c>
      <c r="G131" s="43"/>
      <c r="H131" s="30">
        <f t="shared" si="10"/>
        <v>0</v>
      </c>
    </row>
    <row r="132" spans="1:8" ht="20.399999999999999" x14ac:dyDescent="0.3">
      <c r="A132" s="7" t="s">
        <v>248</v>
      </c>
      <c r="B132" s="8" t="s">
        <v>16</v>
      </c>
      <c r="C132" s="15" t="s">
        <v>249</v>
      </c>
      <c r="D132" s="9">
        <v>2</v>
      </c>
      <c r="E132" s="8" t="s">
        <v>17</v>
      </c>
      <c r="F132" s="40">
        <f>990.5*1.05</f>
        <v>1040.03</v>
      </c>
      <c r="G132" s="43"/>
      <c r="H132" s="30">
        <f t="shared" si="10"/>
        <v>0</v>
      </c>
    </row>
    <row r="133" spans="1:8" ht="1.05" customHeight="1" x14ac:dyDescent="0.3">
      <c r="A133" s="10"/>
      <c r="B133" s="10"/>
      <c r="C133" s="16"/>
      <c r="D133" s="10"/>
      <c r="E133" s="10"/>
      <c r="F133" s="36"/>
      <c r="G133" s="44"/>
      <c r="H133" s="36"/>
    </row>
    <row r="134" spans="1:8" x14ac:dyDescent="0.3">
      <c r="A134" s="5" t="s">
        <v>250</v>
      </c>
      <c r="B134" s="5" t="s">
        <v>10</v>
      </c>
      <c r="C134" s="14" t="s">
        <v>251</v>
      </c>
      <c r="D134" s="6">
        <v>1</v>
      </c>
      <c r="E134" s="5" t="s">
        <v>11</v>
      </c>
      <c r="F134" s="41"/>
      <c r="G134" s="45"/>
      <c r="H134" s="29">
        <f>H135</f>
        <v>0</v>
      </c>
    </row>
    <row r="135" spans="1:8" x14ac:dyDescent="0.3">
      <c r="A135" s="7" t="s">
        <v>252</v>
      </c>
      <c r="B135" s="8" t="s">
        <v>16</v>
      </c>
      <c r="C135" s="15" t="s">
        <v>253</v>
      </c>
      <c r="D135" s="9">
        <v>1</v>
      </c>
      <c r="E135" s="8" t="s">
        <v>17</v>
      </c>
      <c r="F135" s="40">
        <f>12500.17*1.05</f>
        <v>13125.18</v>
      </c>
      <c r="G135" s="43"/>
      <c r="H135" s="30">
        <f>D135*G135</f>
        <v>0</v>
      </c>
    </row>
    <row r="136" spans="1:8" ht="1.05" customHeight="1" x14ac:dyDescent="0.3">
      <c r="A136" s="10"/>
      <c r="B136" s="10"/>
      <c r="C136" s="16"/>
      <c r="D136" s="10"/>
      <c r="E136" s="10"/>
      <c r="F136" s="10"/>
      <c r="G136" s="10"/>
      <c r="H136" s="31"/>
    </row>
    <row r="137" spans="1:8" x14ac:dyDescent="0.3">
      <c r="H137" s="34"/>
    </row>
    <row r="138" spans="1:8" x14ac:dyDescent="0.3">
      <c r="H138" s="34"/>
    </row>
    <row r="139" spans="1:8" x14ac:dyDescent="0.3">
      <c r="H139" s="34"/>
    </row>
    <row r="140" spans="1:8" x14ac:dyDescent="0.3">
      <c r="H140" s="34"/>
    </row>
    <row r="141" spans="1:8" x14ac:dyDescent="0.3">
      <c r="H141" s="34"/>
    </row>
    <row r="142" spans="1:8" ht="15.6" x14ac:dyDescent="0.3">
      <c r="C142" s="25" t="s">
        <v>254</v>
      </c>
      <c r="D142" s="22"/>
      <c r="E142" s="22"/>
      <c r="G142" s="23"/>
      <c r="H142" s="35">
        <f>H4</f>
        <v>0</v>
      </c>
    </row>
    <row r="143" spans="1:8" x14ac:dyDescent="0.3">
      <c r="C143" s="22"/>
      <c r="D143" s="22"/>
      <c r="E143" s="22"/>
      <c r="G143" s="23"/>
      <c r="H143" s="34"/>
    </row>
    <row r="144" spans="1:8" x14ac:dyDescent="0.3">
      <c r="C144" s="23" t="s">
        <v>255</v>
      </c>
      <c r="D144" s="22"/>
      <c r="E144" s="22"/>
      <c r="G144" s="27"/>
      <c r="H144" s="35">
        <f>H142*G144</f>
        <v>0</v>
      </c>
    </row>
    <row r="145" spans="3:8" x14ac:dyDescent="0.3">
      <c r="C145" s="22"/>
      <c r="D145" s="22"/>
      <c r="E145" s="22"/>
      <c r="G145" s="24"/>
      <c r="H145" s="34"/>
    </row>
    <row r="146" spans="3:8" x14ac:dyDescent="0.3">
      <c r="C146" s="23" t="s">
        <v>256</v>
      </c>
      <c r="D146" s="22"/>
      <c r="E146" s="22"/>
      <c r="G146" s="27"/>
      <c r="H146" s="35">
        <f>H142*G146</f>
        <v>0</v>
      </c>
    </row>
    <row r="147" spans="3:8" x14ac:dyDescent="0.3">
      <c r="C147" s="22"/>
      <c r="D147" s="22"/>
      <c r="E147" s="22"/>
      <c r="G147" s="24"/>
      <c r="H147" s="34"/>
    </row>
    <row r="148" spans="3:8" x14ac:dyDescent="0.3">
      <c r="C148" s="23" t="s">
        <v>257</v>
      </c>
      <c r="D148" s="22"/>
      <c r="E148" s="22"/>
      <c r="G148" s="24"/>
      <c r="H148" s="35">
        <f>H142+H144+H146</f>
        <v>0</v>
      </c>
    </row>
    <row r="149" spans="3:8" x14ac:dyDescent="0.3">
      <c r="C149" s="22"/>
      <c r="D149" s="22"/>
      <c r="E149" s="22"/>
      <c r="G149" s="24"/>
      <c r="H149" s="34"/>
    </row>
    <row r="150" spans="3:8" x14ac:dyDescent="0.3">
      <c r="C150" s="23" t="s">
        <v>258</v>
      </c>
      <c r="D150" s="22"/>
      <c r="E150" s="22"/>
      <c r="G150" s="24">
        <v>0.21</v>
      </c>
      <c r="H150" s="35">
        <f>H148*G150</f>
        <v>0</v>
      </c>
    </row>
    <row r="151" spans="3:8" x14ac:dyDescent="0.3">
      <c r="C151" s="22"/>
      <c r="D151" s="22"/>
      <c r="E151" s="22"/>
      <c r="G151" s="24"/>
      <c r="H151" s="34"/>
    </row>
    <row r="152" spans="3:8" ht="15.6" x14ac:dyDescent="0.3">
      <c r="C152" s="25" t="s">
        <v>259</v>
      </c>
      <c r="D152" s="22"/>
      <c r="E152" s="22"/>
      <c r="G152" s="23"/>
      <c r="H152" s="35">
        <f>H148+H150</f>
        <v>0</v>
      </c>
    </row>
  </sheetData>
  <sheetProtection algorithmName="SHA-512" hashValue="rVAZ4/uCsV3HPiC80v7J+b1befh0mpboV2UMNGdExSUQdU1OplDIvWJwbP19/Yhuvd09gHQSCuPU4Awl/E0HOw==" saltValue="EcazR9c9/C6k3aYF1fUK7Q==" spinCount="100000" sheet="1" objects="1" scenarios="1" insertColumns="0" insertRows="0" insertHyperlinks="0" deleteColumns="0" deleteRows="0"/>
  <dataValidations disablePrompts="1" count="1">
    <dataValidation type="list" allowBlank="1" showInputMessage="1" showErrorMessage="1" sqref="B4:B136" xr:uid="{332A4B59-3112-4F20-AF5D-A52E9D18215A}">
      <formula1>"Capítulo,Partida,Mano de obra,Maquinaria,Material,Otros,Tarea,"</formula1>
    </dataValidation>
  </dataValidation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Metro de Madrid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Zafra Iniesta, Marta Guadalupe</dc:creator>
  <cp:lastModifiedBy>Zafra Iniesta, Marta Guadalupe</cp:lastModifiedBy>
  <dcterms:created xsi:type="dcterms:W3CDTF">2023-03-07T09:23:54Z</dcterms:created>
  <dcterms:modified xsi:type="dcterms:W3CDTF">2023-04-28T10:41:23Z</dcterms:modified>
</cp:coreProperties>
</file>