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8_{E6FB624B-F219-493D-9503-C3B29C5BE09F}" xr6:coauthVersionLast="47" xr6:coauthVersionMax="47" xr10:uidLastSave="{00000000-0000-0000-0000-000000000000}"/>
  <bookViews>
    <workbookView xWindow="-110" yWindow="-110" windowWidth="19420" windowHeight="10420" tabRatio="865" activeTab="5" xr2:uid="{00000000-000D-0000-FFFF-FFFF00000000}"/>
  </bookViews>
  <sheets>
    <sheet name="Presupuesto Total" sheetId="4" r:id="rId1"/>
    <sheet name="Preciario" sheetId="8" state="hidden" r:id="rId2"/>
    <sheet name="5_ALUCHE" sheetId="9" r:id="rId3"/>
    <sheet name="6_FUENCARRAL" sheetId="10" r:id="rId4"/>
    <sheet name="7_SACEDAL" sheetId="11" r:id="rId5"/>
    <sheet name="8_LAGUNA" sheetId="12" r:id="rId6"/>
    <sheet name="9.1_HORTALEZA" sheetId="13" r:id="rId7"/>
    <sheet name="9.4_HORTALEZA" sheetId="15" r:id="rId8"/>
    <sheet name="11_LORANCA" sheetId="16" r:id="rId9"/>
    <sheet name="12_VALDECARROS" sheetId="17" r:id="rId10"/>
    <sheet name="COCH_PTA_ARGANDA" sheetId="18" r:id="rId11"/>
    <sheet name="Consumo Pw" sheetId="6"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9" i="8" l="1"/>
  <c r="O54" i="18"/>
  <c r="G54" i="18"/>
  <c r="E54" i="18"/>
  <c r="O58" i="17"/>
  <c r="G58" i="17"/>
  <c r="E58" i="17"/>
  <c r="O56" i="16"/>
  <c r="G56" i="16"/>
  <c r="E56" i="16"/>
  <c r="O36" i="15"/>
  <c r="G36" i="15"/>
  <c r="E36" i="15"/>
  <c r="O48" i="13"/>
  <c r="G48" i="13"/>
  <c r="E48" i="13"/>
  <c r="O50" i="12"/>
  <c r="G50" i="12"/>
  <c r="E50" i="12"/>
  <c r="O59" i="11"/>
  <c r="G59" i="11"/>
  <c r="E59" i="11"/>
  <c r="O60" i="10"/>
  <c r="G60" i="10"/>
  <c r="E60" i="10"/>
  <c r="O58" i="9"/>
  <c r="E58" i="9"/>
  <c r="O40" i="17"/>
  <c r="F40" i="17"/>
  <c r="G40" i="17" s="1"/>
  <c r="E40" i="17"/>
  <c r="D40" i="17"/>
  <c r="A33" i="13" l="1"/>
  <c r="A32" i="13"/>
  <c r="E33" i="13"/>
  <c r="E32" i="13"/>
  <c r="O32" i="13"/>
  <c r="O31" i="13"/>
  <c r="F31" i="13"/>
  <c r="G31" i="13" s="1"/>
  <c r="E31" i="13"/>
  <c r="D31" i="13"/>
  <c r="O35" i="18"/>
  <c r="O36" i="18"/>
  <c r="O52" i="18"/>
  <c r="O53" i="18"/>
  <c r="O56" i="17"/>
  <c r="O57" i="17"/>
  <c r="O54" i="16"/>
  <c r="O55" i="16"/>
  <c r="O57" i="16"/>
  <c r="O58" i="16"/>
  <c r="O34" i="15"/>
  <c r="O35" i="15"/>
  <c r="O37" i="15"/>
  <c r="O52" i="10"/>
  <c r="O57" i="11"/>
  <c r="O58" i="11"/>
  <c r="O60" i="11"/>
  <c r="O59" i="12"/>
  <c r="O60" i="12"/>
  <c r="O48" i="12"/>
  <c r="O49" i="12"/>
  <c r="O51" i="12"/>
  <c r="O46" i="13"/>
  <c r="O47" i="13"/>
  <c r="O28" i="9"/>
  <c r="O78" i="10" l="1"/>
  <c r="O79" i="10"/>
  <c r="O58" i="10"/>
  <c r="O59" i="10"/>
  <c r="O50" i="9"/>
  <c r="O54" i="9"/>
  <c r="O55" i="9"/>
  <c r="O56" i="9"/>
  <c r="O57" i="9"/>
  <c r="O59" i="9"/>
  <c r="F53" i="18"/>
  <c r="G53" i="18" s="1"/>
  <c r="E53" i="18"/>
  <c r="D53" i="18"/>
  <c r="F52" i="18"/>
  <c r="G52" i="18" s="1"/>
  <c r="E52" i="18"/>
  <c r="D52" i="18"/>
  <c r="F57" i="17"/>
  <c r="G57" i="17" s="1"/>
  <c r="E57" i="17"/>
  <c r="D57" i="17"/>
  <c r="F56" i="17"/>
  <c r="G56" i="17" s="1"/>
  <c r="E56" i="17"/>
  <c r="D56" i="17"/>
  <c r="F55" i="16"/>
  <c r="G55" i="16" s="1"/>
  <c r="E55" i="16"/>
  <c r="D55" i="16"/>
  <c r="F54" i="16"/>
  <c r="G54" i="16" s="1"/>
  <c r="E54" i="16"/>
  <c r="D54" i="16"/>
  <c r="F35" i="15"/>
  <c r="G35" i="15" s="1"/>
  <c r="E35" i="15"/>
  <c r="D35" i="15"/>
  <c r="F34" i="15"/>
  <c r="G34" i="15" s="1"/>
  <c r="E34" i="15"/>
  <c r="D34" i="15"/>
  <c r="O59" i="13" l="1"/>
  <c r="F59" i="13"/>
  <c r="G59" i="13" s="1"/>
  <c r="E59" i="13"/>
  <c r="D59" i="13"/>
  <c r="O58" i="13"/>
  <c r="F58" i="13"/>
  <c r="G58" i="13" s="1"/>
  <c r="E58" i="13"/>
  <c r="D58" i="13"/>
  <c r="F47" i="13"/>
  <c r="G47" i="13" s="1"/>
  <c r="E47" i="13"/>
  <c r="D47" i="13"/>
  <c r="F46" i="13"/>
  <c r="G46" i="13" s="1"/>
  <c r="E46" i="13"/>
  <c r="D46" i="13"/>
  <c r="C17" i="10"/>
  <c r="F49" i="12"/>
  <c r="G49" i="12" s="1"/>
  <c r="E49" i="12"/>
  <c r="D49" i="12"/>
  <c r="F48" i="12"/>
  <c r="G48" i="12" s="1"/>
  <c r="E48" i="12"/>
  <c r="D48" i="12"/>
  <c r="F58" i="11"/>
  <c r="G58" i="11" s="1"/>
  <c r="E58" i="11"/>
  <c r="D58" i="11"/>
  <c r="F57" i="11"/>
  <c r="G57" i="11" s="1"/>
  <c r="E57" i="11"/>
  <c r="D57" i="11"/>
  <c r="E58" i="10"/>
  <c r="F58" i="10"/>
  <c r="E59" i="10"/>
  <c r="F59" i="10"/>
  <c r="G59" i="10" s="1"/>
  <c r="D58" i="10"/>
  <c r="D59" i="10"/>
  <c r="D57" i="9"/>
  <c r="F56" i="9"/>
  <c r="G56" i="9" s="1"/>
  <c r="F57" i="9"/>
  <c r="G57" i="9" s="1"/>
  <c r="E56" i="9"/>
  <c r="E57" i="9"/>
  <c r="D56" i="9"/>
  <c r="G58" i="10" l="1"/>
  <c r="J32" i="4"/>
  <c r="G35" i="18" l="1"/>
  <c r="O41" i="18"/>
  <c r="F41" i="18"/>
  <c r="E41" i="18"/>
  <c r="D41" i="18"/>
  <c r="O40" i="18"/>
  <c r="F40" i="18"/>
  <c r="E40" i="18"/>
  <c r="D40" i="18"/>
  <c r="O46" i="17"/>
  <c r="F46" i="17"/>
  <c r="E46" i="17"/>
  <c r="D46" i="17"/>
  <c r="O45" i="17"/>
  <c r="F45" i="17"/>
  <c r="E45" i="17"/>
  <c r="D45" i="17"/>
  <c r="O42" i="16"/>
  <c r="F42" i="16"/>
  <c r="G42" i="16" s="1"/>
  <c r="E42" i="16"/>
  <c r="D42" i="16"/>
  <c r="O41" i="16"/>
  <c r="F41" i="16"/>
  <c r="G41" i="16" s="1"/>
  <c r="E41" i="16"/>
  <c r="D41" i="16"/>
  <c r="O26" i="15"/>
  <c r="F26" i="15"/>
  <c r="E26" i="15"/>
  <c r="D26" i="15"/>
  <c r="O25" i="15"/>
  <c r="F25" i="15"/>
  <c r="E25" i="15"/>
  <c r="D25" i="15"/>
  <c r="O42" i="13"/>
  <c r="F42" i="13"/>
  <c r="G42" i="13" s="1"/>
  <c r="E42" i="13"/>
  <c r="D42" i="13"/>
  <c r="O41" i="13"/>
  <c r="F41" i="13"/>
  <c r="G41" i="13" s="1"/>
  <c r="E41" i="13"/>
  <c r="D41" i="13"/>
  <c r="O38" i="12"/>
  <c r="F38" i="12"/>
  <c r="E38" i="12"/>
  <c r="D38" i="12"/>
  <c r="O37" i="12"/>
  <c r="F37" i="12"/>
  <c r="E37" i="12"/>
  <c r="D37" i="12"/>
  <c r="O46" i="11"/>
  <c r="F46" i="11"/>
  <c r="E46" i="11"/>
  <c r="D46" i="11"/>
  <c r="O45" i="11"/>
  <c r="F45" i="11"/>
  <c r="E45" i="11"/>
  <c r="D45" i="11"/>
  <c r="O47" i="10"/>
  <c r="F47" i="10"/>
  <c r="E47" i="10"/>
  <c r="D47" i="10"/>
  <c r="O46" i="10"/>
  <c r="F46" i="10"/>
  <c r="E46" i="10"/>
  <c r="D46" i="10"/>
  <c r="O44" i="9"/>
  <c r="F44" i="9"/>
  <c r="E44" i="9"/>
  <c r="D44" i="9"/>
  <c r="G47" i="10" l="1"/>
  <c r="G37" i="12"/>
  <c r="G45" i="11"/>
  <c r="G38" i="12"/>
  <c r="G25" i="15"/>
  <c r="G40" i="18"/>
  <c r="G46" i="11"/>
  <c r="G26" i="15"/>
  <c r="G41" i="18"/>
  <c r="G46" i="10"/>
  <c r="G46" i="17"/>
  <c r="G45" i="17"/>
  <c r="G44" i="9"/>
  <c r="O34" i="18"/>
  <c r="F34" i="18"/>
  <c r="G34" i="18" s="1"/>
  <c r="E34" i="18"/>
  <c r="D34" i="18"/>
  <c r="O38" i="18"/>
  <c r="F38" i="18"/>
  <c r="G38" i="18" s="1"/>
  <c r="E38" i="18"/>
  <c r="D38" i="18"/>
  <c r="O21" i="18"/>
  <c r="F21" i="18"/>
  <c r="G21" i="18" s="1"/>
  <c r="E21" i="18"/>
  <c r="D21" i="18"/>
  <c r="O43" i="17"/>
  <c r="F43" i="17"/>
  <c r="G43" i="17" s="1"/>
  <c r="E43" i="17"/>
  <c r="D43" i="17"/>
  <c r="O22" i="17"/>
  <c r="F22" i="17"/>
  <c r="G22" i="17" s="1"/>
  <c r="E22" i="17"/>
  <c r="D22" i="17"/>
  <c r="O65" i="16"/>
  <c r="F65" i="16"/>
  <c r="G65" i="16" s="1"/>
  <c r="E65" i="16"/>
  <c r="D65" i="16"/>
  <c r="O39" i="16"/>
  <c r="F39" i="16"/>
  <c r="G39" i="16" s="1"/>
  <c r="E39" i="16"/>
  <c r="D39" i="16"/>
  <c r="O24" i="16"/>
  <c r="F24" i="16"/>
  <c r="G24" i="16" s="1"/>
  <c r="E24" i="16"/>
  <c r="D24" i="16"/>
  <c r="O23" i="15"/>
  <c r="F23" i="15"/>
  <c r="E23" i="15"/>
  <c r="D23" i="15"/>
  <c r="O56" i="13"/>
  <c r="F56" i="13"/>
  <c r="G56" i="13" s="1"/>
  <c r="E56" i="13"/>
  <c r="D56" i="13"/>
  <c r="O39" i="13"/>
  <c r="F39" i="13"/>
  <c r="G39" i="13" s="1"/>
  <c r="E39" i="13"/>
  <c r="D39" i="13"/>
  <c r="O23" i="13"/>
  <c r="F23" i="13"/>
  <c r="G23" i="13" s="1"/>
  <c r="E23" i="13"/>
  <c r="D23" i="13"/>
  <c r="O35" i="12"/>
  <c r="F35" i="12"/>
  <c r="G35" i="12" s="1"/>
  <c r="E35" i="12"/>
  <c r="D35" i="12"/>
  <c r="O22" i="12"/>
  <c r="F22" i="12"/>
  <c r="G22" i="12" s="1"/>
  <c r="E22" i="12"/>
  <c r="D22" i="12"/>
  <c r="O67" i="11"/>
  <c r="F67" i="11"/>
  <c r="G67" i="11" s="1"/>
  <c r="E67" i="11"/>
  <c r="D67" i="11"/>
  <c r="O43" i="11"/>
  <c r="F43" i="11"/>
  <c r="G43" i="11" s="1"/>
  <c r="E43" i="11"/>
  <c r="D43" i="11"/>
  <c r="O24" i="11"/>
  <c r="F24" i="11"/>
  <c r="G24" i="11" s="1"/>
  <c r="E24" i="11"/>
  <c r="D24" i="11"/>
  <c r="O68" i="10"/>
  <c r="F68" i="10"/>
  <c r="G68" i="10" s="1"/>
  <c r="E68" i="10"/>
  <c r="D68" i="10"/>
  <c r="O44" i="10"/>
  <c r="F44" i="10"/>
  <c r="G44" i="10" s="1"/>
  <c r="E44" i="10"/>
  <c r="D44" i="10"/>
  <c r="O24" i="10"/>
  <c r="F24" i="10"/>
  <c r="G24" i="10" s="1"/>
  <c r="E24" i="10"/>
  <c r="D24" i="10"/>
  <c r="O22" i="9"/>
  <c r="O42" i="9"/>
  <c r="F42" i="9"/>
  <c r="G42" i="9" s="1"/>
  <c r="E42" i="9"/>
  <c r="D42" i="9"/>
  <c r="F22" i="9"/>
  <c r="G22" i="9" s="1"/>
  <c r="E22" i="9"/>
  <c r="D22" i="9"/>
  <c r="G23" i="15" l="1"/>
  <c r="A60" i="9"/>
  <c r="E36" i="18"/>
  <c r="E37" i="18"/>
  <c r="E39" i="18"/>
  <c r="E42" i="18"/>
  <c r="E43" i="18"/>
  <c r="E44" i="18"/>
  <c r="E45" i="18"/>
  <c r="E46" i="18"/>
  <c r="E47" i="18"/>
  <c r="E48" i="18"/>
  <c r="E49" i="18"/>
  <c r="E50" i="18"/>
  <c r="E51" i="18"/>
  <c r="E55" i="18"/>
  <c r="E56" i="18"/>
  <c r="E33" i="18"/>
  <c r="E22" i="18"/>
  <c r="E23" i="18"/>
  <c r="E24" i="18"/>
  <c r="E25" i="18"/>
  <c r="E26" i="18"/>
  <c r="E27" i="18"/>
  <c r="E28" i="18"/>
  <c r="E20" i="18"/>
  <c r="E66" i="17"/>
  <c r="E65" i="17"/>
  <c r="E41" i="17"/>
  <c r="E42" i="17"/>
  <c r="E44" i="17"/>
  <c r="E47" i="17"/>
  <c r="E48" i="17"/>
  <c r="E49" i="17"/>
  <c r="E50" i="17"/>
  <c r="E51" i="17"/>
  <c r="E52" i="17"/>
  <c r="E53" i="17"/>
  <c r="E54" i="17"/>
  <c r="E55" i="17"/>
  <c r="E59" i="17"/>
  <c r="E60" i="17"/>
  <c r="E39" i="17"/>
  <c r="E23" i="17"/>
  <c r="E24" i="17"/>
  <c r="E25" i="17"/>
  <c r="E26" i="17"/>
  <c r="E27" i="17"/>
  <c r="E28" i="17"/>
  <c r="E29" i="17"/>
  <c r="E30" i="17"/>
  <c r="E31" i="17"/>
  <c r="E32" i="17"/>
  <c r="E33" i="17"/>
  <c r="E34" i="17"/>
  <c r="E21" i="17"/>
  <c r="E76" i="16"/>
  <c r="E64" i="16"/>
  <c r="E66" i="16"/>
  <c r="E67" i="16"/>
  <c r="E68" i="16"/>
  <c r="E69" i="16"/>
  <c r="E70" i="16"/>
  <c r="E71" i="16"/>
  <c r="E63" i="16"/>
  <c r="E37" i="16"/>
  <c r="E38" i="16"/>
  <c r="E40" i="16"/>
  <c r="E43" i="16"/>
  <c r="E44" i="16"/>
  <c r="E45" i="16"/>
  <c r="E46" i="16"/>
  <c r="E47" i="16"/>
  <c r="E48" i="16"/>
  <c r="E49" i="16"/>
  <c r="E50" i="16"/>
  <c r="E51" i="16"/>
  <c r="E52" i="16"/>
  <c r="E53" i="16"/>
  <c r="E57" i="16"/>
  <c r="E58" i="16"/>
  <c r="E36" i="16"/>
  <c r="E25" i="16"/>
  <c r="E26" i="16"/>
  <c r="E27" i="16"/>
  <c r="E28" i="16"/>
  <c r="E29" i="16"/>
  <c r="E30" i="16"/>
  <c r="E31" i="16"/>
  <c r="E23" i="16"/>
  <c r="E44" i="15"/>
  <c r="E43" i="15"/>
  <c r="E21" i="15"/>
  <c r="E22" i="15"/>
  <c r="E24" i="15"/>
  <c r="E27" i="15"/>
  <c r="E28" i="15"/>
  <c r="E29" i="15"/>
  <c r="E30" i="15"/>
  <c r="E31" i="15"/>
  <c r="E32" i="15"/>
  <c r="E33" i="15"/>
  <c r="E37" i="15"/>
  <c r="E38" i="15"/>
  <c r="E20" i="15"/>
  <c r="E70" i="13" l="1"/>
  <c r="E69" i="13"/>
  <c r="E57" i="13"/>
  <c r="E60" i="13"/>
  <c r="E61" i="13"/>
  <c r="E62" i="13"/>
  <c r="E63" i="13"/>
  <c r="E64" i="13"/>
  <c r="E55" i="13"/>
  <c r="E40" i="13"/>
  <c r="E43" i="13"/>
  <c r="E44" i="13"/>
  <c r="E45" i="13"/>
  <c r="E49" i="13"/>
  <c r="E50" i="13"/>
  <c r="E38" i="13"/>
  <c r="E24" i="13"/>
  <c r="E25" i="13"/>
  <c r="E26" i="13"/>
  <c r="E27" i="13"/>
  <c r="E28" i="13"/>
  <c r="E29" i="13"/>
  <c r="E30" i="13"/>
  <c r="E22" i="13"/>
  <c r="E58" i="12"/>
  <c r="E59" i="12"/>
  <c r="E57" i="12"/>
  <c r="E33" i="12"/>
  <c r="E34" i="12"/>
  <c r="E36" i="12"/>
  <c r="E39" i="12"/>
  <c r="E40" i="12"/>
  <c r="E41" i="12"/>
  <c r="E42" i="12"/>
  <c r="E43" i="12"/>
  <c r="E44" i="12"/>
  <c r="E45" i="12"/>
  <c r="E46" i="12"/>
  <c r="E47" i="12"/>
  <c r="E51" i="12"/>
  <c r="E52" i="12"/>
  <c r="E32" i="12"/>
  <c r="E23" i="12"/>
  <c r="E24" i="12"/>
  <c r="E25" i="12"/>
  <c r="E26" i="12"/>
  <c r="E27" i="12"/>
  <c r="E21" i="12"/>
  <c r="E22" i="11"/>
  <c r="E79" i="11"/>
  <c r="E68" i="11"/>
  <c r="E69" i="11"/>
  <c r="E70" i="11"/>
  <c r="E71" i="11"/>
  <c r="E72" i="11"/>
  <c r="E73" i="11"/>
  <c r="E78" i="11"/>
  <c r="E66" i="11"/>
  <c r="E41" i="11"/>
  <c r="E42" i="11"/>
  <c r="E44" i="11"/>
  <c r="E47" i="11"/>
  <c r="E48" i="11"/>
  <c r="E49" i="11"/>
  <c r="E50" i="11"/>
  <c r="E51" i="11"/>
  <c r="E52" i="11"/>
  <c r="E53" i="11"/>
  <c r="E54" i="11"/>
  <c r="E55" i="11"/>
  <c r="E56" i="11"/>
  <c r="E60" i="11"/>
  <c r="E61" i="11"/>
  <c r="E40" i="11"/>
  <c r="E35" i="11"/>
  <c r="E23" i="11"/>
  <c r="E25" i="11"/>
  <c r="E26" i="11"/>
  <c r="E27" i="11"/>
  <c r="E28" i="11"/>
  <c r="E29" i="11"/>
  <c r="E30" i="11"/>
  <c r="E31" i="11"/>
  <c r="E32" i="11"/>
  <c r="E33" i="11"/>
  <c r="E34" i="11"/>
  <c r="E22" i="10"/>
  <c r="E78" i="10"/>
  <c r="E77" i="10"/>
  <c r="E69" i="10"/>
  <c r="E70" i="10"/>
  <c r="E71" i="10"/>
  <c r="E72" i="10"/>
  <c r="E67" i="10"/>
  <c r="E42" i="10"/>
  <c r="E43" i="10"/>
  <c r="E45" i="10"/>
  <c r="E48" i="10"/>
  <c r="E49" i="10"/>
  <c r="E50" i="10"/>
  <c r="E51" i="10"/>
  <c r="E52" i="10"/>
  <c r="E53" i="10"/>
  <c r="E54" i="10"/>
  <c r="E55" i="10"/>
  <c r="E56" i="10"/>
  <c r="E57" i="10"/>
  <c r="E61" i="10"/>
  <c r="E62" i="10"/>
  <c r="E41" i="10"/>
  <c r="E36" i="10"/>
  <c r="E23" i="10"/>
  <c r="E25" i="10"/>
  <c r="E26" i="10"/>
  <c r="E27" i="10"/>
  <c r="E28" i="10"/>
  <c r="E29" i="10"/>
  <c r="E30" i="10"/>
  <c r="E31" i="10"/>
  <c r="E32" i="10"/>
  <c r="E33" i="10"/>
  <c r="E34" i="10"/>
  <c r="E35" i="10"/>
  <c r="F55" i="9"/>
  <c r="G55" i="9" s="1"/>
  <c r="E32" i="9"/>
  <c r="E66" i="9"/>
  <c r="E65" i="9"/>
  <c r="E40" i="9"/>
  <c r="E41" i="9"/>
  <c r="E43" i="9"/>
  <c r="E45" i="9"/>
  <c r="E46" i="9"/>
  <c r="E47" i="9"/>
  <c r="E48" i="9"/>
  <c r="E49" i="9"/>
  <c r="E50" i="9"/>
  <c r="E51" i="9"/>
  <c r="E52" i="9"/>
  <c r="E53" i="9"/>
  <c r="E54" i="9"/>
  <c r="E55" i="9"/>
  <c r="E59" i="9"/>
  <c r="E60" i="9"/>
  <c r="E39" i="9"/>
  <c r="E34" i="9"/>
  <c r="E33" i="9"/>
  <c r="E23" i="9"/>
  <c r="E24" i="9"/>
  <c r="E25" i="9"/>
  <c r="E26" i="9"/>
  <c r="E27" i="9"/>
  <c r="E28" i="9"/>
  <c r="E29" i="9"/>
  <c r="E30" i="9"/>
  <c r="E31" i="9"/>
  <c r="E21" i="9"/>
  <c r="O49" i="10" l="1"/>
  <c r="F49" i="10"/>
  <c r="G49" i="10" s="1"/>
  <c r="D49" i="10"/>
  <c r="O48" i="10"/>
  <c r="F48" i="10"/>
  <c r="G48" i="10" s="1"/>
  <c r="D48" i="10"/>
  <c r="F52" i="10"/>
  <c r="G52" i="10" s="1"/>
  <c r="D52" i="10"/>
  <c r="F29" i="10"/>
  <c r="G29" i="10" s="1"/>
  <c r="D29" i="10"/>
  <c r="F50" i="9"/>
  <c r="G50" i="9" s="1"/>
  <c r="D50" i="9"/>
  <c r="F28" i="9"/>
  <c r="G28" i="9" s="1"/>
  <c r="D28" i="9"/>
  <c r="O47" i="9"/>
  <c r="F47" i="9"/>
  <c r="G47" i="9" s="1"/>
  <c r="D47" i="9"/>
  <c r="O25" i="9"/>
  <c r="F25" i="9"/>
  <c r="G25" i="9" s="1"/>
  <c r="D25" i="9"/>
  <c r="O51" i="18" l="1"/>
  <c r="F51" i="18"/>
  <c r="D51" i="18"/>
  <c r="O26" i="18"/>
  <c r="F26" i="18"/>
  <c r="G26" i="18" s="1"/>
  <c r="D26" i="18"/>
  <c r="O25" i="18"/>
  <c r="F25" i="18"/>
  <c r="G25" i="18" s="1"/>
  <c r="D25" i="18"/>
  <c r="O32" i="17"/>
  <c r="F32" i="17"/>
  <c r="G32" i="17" s="1"/>
  <c r="D32" i="17"/>
  <c r="O31" i="17"/>
  <c r="F31" i="17"/>
  <c r="G31" i="17" s="1"/>
  <c r="D31" i="17"/>
  <c r="O55" i="17"/>
  <c r="F55" i="17"/>
  <c r="D55" i="17"/>
  <c r="O69" i="16"/>
  <c r="F69" i="16"/>
  <c r="G69" i="16" s="1"/>
  <c r="D69" i="16"/>
  <c r="O53" i="16"/>
  <c r="F53" i="16"/>
  <c r="G53" i="16" s="1"/>
  <c r="D53" i="16"/>
  <c r="O52" i="16"/>
  <c r="F52" i="16"/>
  <c r="G52" i="16" s="1"/>
  <c r="D52" i="16"/>
  <c r="O51" i="16"/>
  <c r="F51" i="16"/>
  <c r="D51" i="16"/>
  <c r="O33" i="15"/>
  <c r="F33" i="15"/>
  <c r="D33" i="15"/>
  <c r="G51" i="18" l="1"/>
  <c r="G33" i="15"/>
  <c r="G55" i="17"/>
  <c r="G51" i="16"/>
  <c r="F43" i="12"/>
  <c r="O47" i="12"/>
  <c r="F47" i="12"/>
  <c r="D47" i="12"/>
  <c r="O33" i="11"/>
  <c r="F33" i="11"/>
  <c r="G33" i="11" s="1"/>
  <c r="D33" i="11"/>
  <c r="O56" i="11"/>
  <c r="F56" i="11"/>
  <c r="G56" i="11" s="1"/>
  <c r="D56" i="11"/>
  <c r="O55" i="11"/>
  <c r="F55" i="11"/>
  <c r="G55" i="11" s="1"/>
  <c r="D55" i="11"/>
  <c r="O54" i="11"/>
  <c r="F54" i="11"/>
  <c r="D54" i="11"/>
  <c r="O57" i="10"/>
  <c r="F57" i="10"/>
  <c r="D57" i="10"/>
  <c r="O33" i="10"/>
  <c r="F33" i="10"/>
  <c r="G33" i="10" s="1"/>
  <c r="D33" i="10"/>
  <c r="O32" i="10"/>
  <c r="F32" i="10"/>
  <c r="G32" i="10" s="1"/>
  <c r="D32" i="10"/>
  <c r="O34" i="10"/>
  <c r="F34" i="10"/>
  <c r="G34" i="10" s="1"/>
  <c r="D34" i="10"/>
  <c r="D55" i="9"/>
  <c r="O60" i="9"/>
  <c r="G54" i="11" l="1"/>
  <c r="G47" i="12"/>
  <c r="G57" i="10"/>
  <c r="O66" i="17"/>
  <c r="D66" i="17"/>
  <c r="O70" i="13"/>
  <c r="F70" i="13"/>
  <c r="G70" i="13" s="1"/>
  <c r="D70" i="13"/>
  <c r="D10" i="8"/>
  <c r="F66" i="17" s="1"/>
  <c r="G66" i="17" s="1"/>
  <c r="D11" i="8"/>
  <c r="D12" i="8"/>
  <c r="D13" i="8"/>
  <c r="D14" i="8"/>
  <c r="D15" i="8"/>
  <c r="D16" i="8"/>
  <c r="D9" i="8"/>
  <c r="G67" i="17" l="1"/>
  <c r="F65" i="17"/>
  <c r="G65" i="17" s="1"/>
  <c r="D65" i="17"/>
  <c r="G77" i="16"/>
  <c r="F76" i="16"/>
  <c r="G76" i="16" s="1"/>
  <c r="D76" i="16"/>
  <c r="G45" i="15"/>
  <c r="F44" i="15"/>
  <c r="G44" i="15" s="1"/>
  <c r="D44" i="15"/>
  <c r="F43" i="15"/>
  <c r="G43" i="15" s="1"/>
  <c r="D43" i="15"/>
  <c r="G71" i="13"/>
  <c r="F69" i="13"/>
  <c r="G69" i="13" s="1"/>
  <c r="D69" i="13"/>
  <c r="G60" i="12"/>
  <c r="D59" i="12"/>
  <c r="F59" i="12"/>
  <c r="G59" i="12" s="1"/>
  <c r="F58" i="12"/>
  <c r="G58" i="12" s="1"/>
  <c r="D58" i="12"/>
  <c r="F57" i="12"/>
  <c r="G57" i="12" s="1"/>
  <c r="D57" i="12"/>
  <c r="F65" i="9"/>
  <c r="G65" i="9" s="1"/>
  <c r="D65" i="9"/>
  <c r="F77" i="10"/>
  <c r="G77" i="10" s="1"/>
  <c r="D77" i="10"/>
  <c r="F78" i="10"/>
  <c r="G78" i="10" s="1"/>
  <c r="D78" i="10"/>
  <c r="G80" i="11"/>
  <c r="F79" i="11"/>
  <c r="G79" i="11" s="1"/>
  <c r="D79" i="11"/>
  <c r="F78" i="11"/>
  <c r="G78" i="11" s="1"/>
  <c r="D78" i="11"/>
  <c r="G79" i="10"/>
  <c r="G67" i="9"/>
  <c r="F66" i="9"/>
  <c r="G66" i="9" s="1"/>
  <c r="D66" i="9"/>
  <c r="G80" i="10" l="1"/>
  <c r="G61" i="12"/>
  <c r="K16" i="17" l="1"/>
  <c r="C16" i="17"/>
  <c r="G68" i="17"/>
  <c r="D16" i="17" s="1"/>
  <c r="O67" i="17"/>
  <c r="O65" i="17"/>
  <c r="K17" i="16"/>
  <c r="C17" i="16"/>
  <c r="G78" i="16"/>
  <c r="D17" i="16" s="1"/>
  <c r="O77" i="16"/>
  <c r="O76" i="16"/>
  <c r="O38" i="15"/>
  <c r="K15" i="15"/>
  <c r="C15" i="15"/>
  <c r="O45" i="15"/>
  <c r="O44" i="15"/>
  <c r="G46" i="15"/>
  <c r="D15" i="15" s="1"/>
  <c r="O43" i="15"/>
  <c r="G72" i="13"/>
  <c r="K17" i="13"/>
  <c r="C17" i="13"/>
  <c r="O71" i="13"/>
  <c r="O69" i="13"/>
  <c r="D16" i="12"/>
  <c r="K16" i="12"/>
  <c r="C16" i="12"/>
  <c r="O58" i="12"/>
  <c r="O57" i="12"/>
  <c r="K17" i="11"/>
  <c r="C17" i="11"/>
  <c r="G81" i="11"/>
  <c r="D17" i="11" s="1"/>
  <c r="O80" i="11"/>
  <c r="O79" i="11"/>
  <c r="O78" i="11"/>
  <c r="K16" i="9"/>
  <c r="K17" i="10"/>
  <c r="D17" i="10"/>
  <c r="O77" i="10"/>
  <c r="O80" i="10" s="1"/>
  <c r="L17" i="10" s="1"/>
  <c r="C16" i="9"/>
  <c r="K15" i="9"/>
  <c r="C15" i="9"/>
  <c r="O67" i="9"/>
  <c r="O66" i="9"/>
  <c r="O65" i="9"/>
  <c r="G68" i="9"/>
  <c r="O72" i="13" l="1"/>
  <c r="L17" i="13" s="1"/>
  <c r="O68" i="17"/>
  <c r="L16" i="17" s="1"/>
  <c r="O68" i="9"/>
  <c r="L16" i="9" s="1"/>
  <c r="O61" i="12"/>
  <c r="L16" i="12" s="1"/>
  <c r="O78" i="16"/>
  <c r="L17" i="16" s="1"/>
  <c r="O81" i="11"/>
  <c r="L17" i="11" s="1"/>
  <c r="O46" i="15"/>
  <c r="L15" i="15" s="1"/>
  <c r="D17" i="13"/>
  <c r="A34" i="9"/>
  <c r="A33" i="9"/>
  <c r="D16" i="9" l="1"/>
  <c r="A56" i="18"/>
  <c r="A55" i="18"/>
  <c r="A28" i="18"/>
  <c r="A27" i="18"/>
  <c r="A60" i="17"/>
  <c r="A59" i="17"/>
  <c r="A34" i="17"/>
  <c r="A33" i="17"/>
  <c r="A71" i="16"/>
  <c r="A70" i="16"/>
  <c r="A58" i="16"/>
  <c r="A57" i="16"/>
  <c r="A31" i="16"/>
  <c r="A30" i="16"/>
  <c r="A38" i="15"/>
  <c r="A37" i="15"/>
  <c r="A64" i="13"/>
  <c r="A50" i="13"/>
  <c r="A63" i="13"/>
  <c r="A49" i="13"/>
  <c r="A52" i="12"/>
  <c r="A51" i="12"/>
  <c r="A27" i="12"/>
  <c r="A26" i="12"/>
  <c r="A73" i="11"/>
  <c r="A72" i="11"/>
  <c r="A61" i="11"/>
  <c r="A60" i="11"/>
  <c r="A35" i="11"/>
  <c r="A34" i="11"/>
  <c r="A59" i="9"/>
  <c r="A72" i="10"/>
  <c r="A71" i="10"/>
  <c r="A62" i="10"/>
  <c r="A61" i="10"/>
  <c r="O71" i="11" l="1"/>
  <c r="F71" i="11"/>
  <c r="G71" i="11" s="1"/>
  <c r="D71" i="11"/>
  <c r="O70" i="11"/>
  <c r="F70" i="11"/>
  <c r="G70" i="11" s="1"/>
  <c r="D70" i="11"/>
  <c r="O69" i="11"/>
  <c r="F69" i="11"/>
  <c r="G69" i="11" s="1"/>
  <c r="D69" i="11"/>
  <c r="K16" i="11" l="1"/>
  <c r="C16" i="11"/>
  <c r="O73" i="11"/>
  <c r="O72" i="11"/>
  <c r="O68" i="11"/>
  <c r="F68" i="11"/>
  <c r="G68" i="11" s="1"/>
  <c r="D68" i="11"/>
  <c r="O66" i="11"/>
  <c r="F66" i="11"/>
  <c r="G66" i="11" s="1"/>
  <c r="D66" i="11"/>
  <c r="G72" i="11" l="1"/>
  <c r="O74" i="11"/>
  <c r="L16" i="11" s="1"/>
  <c r="G73" i="11" l="1"/>
  <c r="G74" i="11" s="1"/>
  <c r="D16" i="11" s="1"/>
  <c r="O27" i="16" l="1"/>
  <c r="F27" i="16"/>
  <c r="G27" i="16" s="1"/>
  <c r="D27" i="16"/>
  <c r="O36" i="10" l="1"/>
  <c r="O35" i="10"/>
  <c r="O30" i="16"/>
  <c r="O43" i="18"/>
  <c r="F43" i="18"/>
  <c r="G43" i="18" s="1"/>
  <c r="D43" i="18"/>
  <c r="O49" i="17"/>
  <c r="F49" i="17"/>
  <c r="G49" i="17" s="1"/>
  <c r="D49" i="17"/>
  <c r="O25" i="17"/>
  <c r="F25" i="17"/>
  <c r="G25" i="17" s="1"/>
  <c r="D25" i="17"/>
  <c r="O45" i="16"/>
  <c r="F45" i="16"/>
  <c r="G45" i="16" s="1"/>
  <c r="D45" i="16"/>
  <c r="O28" i="15"/>
  <c r="F28" i="15"/>
  <c r="G28" i="15" s="1"/>
  <c r="D28" i="15"/>
  <c r="O40" i="12"/>
  <c r="F40" i="12"/>
  <c r="G40" i="12" s="1"/>
  <c r="D40" i="12"/>
  <c r="O48" i="11"/>
  <c r="F48" i="11"/>
  <c r="G48" i="11" s="1"/>
  <c r="D48" i="11"/>
  <c r="O27" i="11"/>
  <c r="F27" i="11"/>
  <c r="G27" i="11" s="1"/>
  <c r="D27" i="11"/>
  <c r="O48" i="9"/>
  <c r="F48" i="9"/>
  <c r="G48" i="9" s="1"/>
  <c r="D48" i="9"/>
  <c r="O26" i="9"/>
  <c r="O27" i="9"/>
  <c r="F26" i="9"/>
  <c r="G26" i="9" s="1"/>
  <c r="F27" i="9"/>
  <c r="G27" i="9" s="1"/>
  <c r="D27" i="9"/>
  <c r="D26" i="9"/>
  <c r="O50" i="10" l="1"/>
  <c r="F50" i="10"/>
  <c r="G50" i="10" s="1"/>
  <c r="D50" i="10"/>
  <c r="O27" i="10"/>
  <c r="F27" i="10"/>
  <c r="G27" i="10" s="1"/>
  <c r="D27" i="10"/>
  <c r="O44" i="18" l="1"/>
  <c r="F44" i="18"/>
  <c r="G44" i="18" s="1"/>
  <c r="D44" i="18"/>
  <c r="C14" i="15" l="1"/>
  <c r="O55" i="18"/>
  <c r="O27" i="18"/>
  <c r="O33" i="17"/>
  <c r="O59" i="17"/>
  <c r="O70" i="16"/>
  <c r="O63" i="13"/>
  <c r="O49" i="13"/>
  <c r="O26" i="12"/>
  <c r="O34" i="11"/>
  <c r="O61" i="10"/>
  <c r="O71" i="10"/>
  <c r="O33" i="9"/>
  <c r="O56" i="18" l="1"/>
  <c r="O28" i="18"/>
  <c r="O60" i="17"/>
  <c r="O34" i="17"/>
  <c r="O71" i="16"/>
  <c r="O31" i="16"/>
  <c r="O34" i="9"/>
  <c r="O72" i="10"/>
  <c r="O62" i="10"/>
  <c r="O61" i="11"/>
  <c r="O35" i="11"/>
  <c r="O52" i="12"/>
  <c r="O27" i="12"/>
  <c r="O64" i="13"/>
  <c r="O50" i="13"/>
  <c r="O32" i="15"/>
  <c r="F32" i="15"/>
  <c r="G32" i="15" s="1"/>
  <c r="D32" i="15"/>
  <c r="O66" i="16" l="1"/>
  <c r="F66" i="16"/>
  <c r="G66" i="16" s="1"/>
  <c r="D66" i="16"/>
  <c r="O31" i="15" l="1"/>
  <c r="F31" i="15"/>
  <c r="G31" i="15" s="1"/>
  <c r="D31" i="15"/>
  <c r="O30" i="15"/>
  <c r="F30" i="15"/>
  <c r="G30" i="15" s="1"/>
  <c r="D30" i="15"/>
  <c r="D26" i="16"/>
  <c r="O39" i="9" l="1"/>
  <c r="F39" i="9"/>
  <c r="G39" i="9" s="1"/>
  <c r="D39" i="9"/>
  <c r="K16" i="10" l="1"/>
  <c r="O50" i="18" l="1"/>
  <c r="F50" i="18"/>
  <c r="G50" i="18" s="1"/>
  <c r="D50" i="18"/>
  <c r="O49" i="18"/>
  <c r="F49" i="18"/>
  <c r="G49" i="18" s="1"/>
  <c r="D49" i="18"/>
  <c r="O48" i="18"/>
  <c r="F48" i="18"/>
  <c r="G48" i="18" s="1"/>
  <c r="D48" i="18"/>
  <c r="O47" i="18"/>
  <c r="F47" i="18"/>
  <c r="G47" i="18" s="1"/>
  <c r="D47" i="18"/>
  <c r="O46" i="18"/>
  <c r="F46" i="18"/>
  <c r="G46" i="18" s="1"/>
  <c r="D46" i="18"/>
  <c r="O45" i="18"/>
  <c r="F45" i="18"/>
  <c r="G45" i="18" s="1"/>
  <c r="D45" i="18"/>
  <c r="O42" i="18"/>
  <c r="F42" i="18"/>
  <c r="G42" i="18" s="1"/>
  <c r="D42" i="18"/>
  <c r="O39" i="18"/>
  <c r="F39" i="18"/>
  <c r="D39" i="18"/>
  <c r="O37" i="18"/>
  <c r="F37" i="18"/>
  <c r="G37" i="18" s="1"/>
  <c r="D37" i="18"/>
  <c r="F36" i="18"/>
  <c r="G36" i="18" s="1"/>
  <c r="D36" i="18"/>
  <c r="O33" i="18"/>
  <c r="F33" i="18"/>
  <c r="G33" i="18" s="1"/>
  <c r="D33" i="18"/>
  <c r="O24" i="18"/>
  <c r="F24" i="18"/>
  <c r="G24" i="18" s="1"/>
  <c r="D24" i="18"/>
  <c r="O23" i="18"/>
  <c r="F23" i="18"/>
  <c r="G23" i="18" s="1"/>
  <c r="D23" i="18"/>
  <c r="O22" i="18"/>
  <c r="F22" i="18"/>
  <c r="G22" i="18" s="1"/>
  <c r="D22" i="18"/>
  <c r="O20" i="18"/>
  <c r="F20" i="18"/>
  <c r="G20" i="18" s="1"/>
  <c r="D20" i="18"/>
  <c r="K15" i="18"/>
  <c r="C15" i="18"/>
  <c r="K14" i="18"/>
  <c r="C14" i="18"/>
  <c r="O54" i="17"/>
  <c r="F54" i="17"/>
  <c r="G54" i="17" s="1"/>
  <c r="D54" i="17"/>
  <c r="O53" i="17"/>
  <c r="F53" i="17"/>
  <c r="G53" i="17" s="1"/>
  <c r="D53" i="17"/>
  <c r="O52" i="17"/>
  <c r="F52" i="17"/>
  <c r="G52" i="17" s="1"/>
  <c r="D52" i="17"/>
  <c r="O51" i="17"/>
  <c r="F51" i="17"/>
  <c r="G51" i="17" s="1"/>
  <c r="D51" i="17"/>
  <c r="O50" i="17"/>
  <c r="F50" i="17"/>
  <c r="G50" i="17" s="1"/>
  <c r="D50" i="17"/>
  <c r="O48" i="17"/>
  <c r="F48" i="17"/>
  <c r="G48" i="17" s="1"/>
  <c r="D48" i="17"/>
  <c r="O47" i="17"/>
  <c r="F47" i="17"/>
  <c r="G47" i="17" s="1"/>
  <c r="D47" i="17"/>
  <c r="O44" i="17"/>
  <c r="F44" i="17"/>
  <c r="G44" i="17" s="1"/>
  <c r="D44" i="17"/>
  <c r="O42" i="17"/>
  <c r="F42" i="17"/>
  <c r="G42" i="17" s="1"/>
  <c r="D42" i="17"/>
  <c r="O41" i="17"/>
  <c r="F41" i="17"/>
  <c r="G41" i="17" s="1"/>
  <c r="D41" i="17"/>
  <c r="O39" i="17"/>
  <c r="F39" i="17"/>
  <c r="G39" i="17" s="1"/>
  <c r="D39" i="17"/>
  <c r="O30" i="17"/>
  <c r="F30" i="17"/>
  <c r="G30" i="17" s="1"/>
  <c r="D30" i="17"/>
  <c r="O29" i="17"/>
  <c r="F29" i="17"/>
  <c r="G29" i="17" s="1"/>
  <c r="D29" i="17"/>
  <c r="O28" i="17"/>
  <c r="F28" i="17"/>
  <c r="G28" i="17" s="1"/>
  <c r="D28" i="17"/>
  <c r="O27" i="17"/>
  <c r="F27" i="17"/>
  <c r="G27" i="17" s="1"/>
  <c r="D27" i="17"/>
  <c r="O26" i="17"/>
  <c r="F26" i="17"/>
  <c r="G26" i="17" s="1"/>
  <c r="D26" i="17"/>
  <c r="O24" i="17"/>
  <c r="F24" i="17"/>
  <c r="G24" i="17" s="1"/>
  <c r="D24" i="17"/>
  <c r="O23" i="17"/>
  <c r="F23" i="17"/>
  <c r="G23" i="17" s="1"/>
  <c r="D23" i="17"/>
  <c r="O21" i="17"/>
  <c r="F21" i="17"/>
  <c r="G21" i="17" s="1"/>
  <c r="D21" i="17"/>
  <c r="K15" i="17"/>
  <c r="C15" i="17"/>
  <c r="K14" i="17"/>
  <c r="C14" i="17"/>
  <c r="O68" i="16"/>
  <c r="F68" i="16"/>
  <c r="G68" i="16" s="1"/>
  <c r="D68" i="16"/>
  <c r="O67" i="16"/>
  <c r="F67" i="16"/>
  <c r="G67" i="16" s="1"/>
  <c r="D67" i="16"/>
  <c r="O64" i="16"/>
  <c r="F64" i="16"/>
  <c r="G64" i="16" s="1"/>
  <c r="D64" i="16"/>
  <c r="O63" i="16"/>
  <c r="F63" i="16"/>
  <c r="G63" i="16" s="1"/>
  <c r="D63" i="16"/>
  <c r="O50" i="16"/>
  <c r="F50" i="16"/>
  <c r="G50" i="16" s="1"/>
  <c r="D50" i="16"/>
  <c r="O49" i="16"/>
  <c r="F49" i="16"/>
  <c r="G49" i="16" s="1"/>
  <c r="D49" i="16"/>
  <c r="O48" i="16"/>
  <c r="F48" i="16"/>
  <c r="G48" i="16" s="1"/>
  <c r="D48" i="16"/>
  <c r="O47" i="16"/>
  <c r="F47" i="16"/>
  <c r="G47" i="16" s="1"/>
  <c r="D47" i="16"/>
  <c r="O46" i="16"/>
  <c r="F46" i="16"/>
  <c r="G46" i="16" s="1"/>
  <c r="D46" i="16"/>
  <c r="O44" i="16"/>
  <c r="F44" i="16"/>
  <c r="G44" i="16" s="1"/>
  <c r="D44" i="16"/>
  <c r="O43" i="16"/>
  <c r="F43" i="16"/>
  <c r="G43" i="16" s="1"/>
  <c r="D43" i="16"/>
  <c r="O40" i="16"/>
  <c r="F40" i="16"/>
  <c r="G40" i="16" s="1"/>
  <c r="D40" i="16"/>
  <c r="O38" i="16"/>
  <c r="F38" i="16"/>
  <c r="G38" i="16" s="1"/>
  <c r="D38" i="16"/>
  <c r="O37" i="16"/>
  <c r="F37" i="16"/>
  <c r="G37" i="16" s="1"/>
  <c r="D37" i="16"/>
  <c r="O36" i="16"/>
  <c r="F36" i="16"/>
  <c r="G36" i="16" s="1"/>
  <c r="D36" i="16"/>
  <c r="O29" i="16"/>
  <c r="F29" i="16"/>
  <c r="G29" i="16" s="1"/>
  <c r="D29" i="16"/>
  <c r="O28" i="16"/>
  <c r="F28" i="16"/>
  <c r="G28" i="16" s="1"/>
  <c r="D28" i="16"/>
  <c r="O26" i="16"/>
  <c r="F26" i="16"/>
  <c r="G26" i="16" s="1"/>
  <c r="O25" i="16"/>
  <c r="F25" i="16"/>
  <c r="G25" i="16" s="1"/>
  <c r="D25" i="16"/>
  <c r="O23" i="16"/>
  <c r="F23" i="16"/>
  <c r="G23" i="16" s="1"/>
  <c r="D23" i="16"/>
  <c r="K16" i="16"/>
  <c r="C16" i="16"/>
  <c r="K15" i="16"/>
  <c r="C15" i="16"/>
  <c r="K14" i="16"/>
  <c r="C14" i="16"/>
  <c r="O57" i="18" l="1"/>
  <c r="G39" i="18"/>
  <c r="G58" i="16"/>
  <c r="G70" i="16"/>
  <c r="G71" i="16"/>
  <c r="G57" i="16"/>
  <c r="G60" i="17"/>
  <c r="F59" i="17"/>
  <c r="G59" i="17" s="1"/>
  <c r="G33" i="17"/>
  <c r="G34" i="17"/>
  <c r="G28" i="18"/>
  <c r="G27" i="18"/>
  <c r="G56" i="18"/>
  <c r="G55" i="18"/>
  <c r="G30" i="16"/>
  <c r="L15" i="18"/>
  <c r="O29" i="18"/>
  <c r="O35" i="17"/>
  <c r="O61" i="17"/>
  <c r="L15" i="17" s="1"/>
  <c r="O72" i="16"/>
  <c r="L16" i="16" s="1"/>
  <c r="O59" i="16"/>
  <c r="L15" i="16" s="1"/>
  <c r="O32" i="16"/>
  <c r="G61" i="17" l="1"/>
  <c r="G57" i="18"/>
  <c r="D15" i="18" s="1"/>
  <c r="O59" i="18"/>
  <c r="L14" i="18"/>
  <c r="L16" i="18" s="1"/>
  <c r="H19" i="4" s="1"/>
  <c r="O70" i="17"/>
  <c r="L14" i="16"/>
  <c r="L18" i="16" s="1"/>
  <c r="H17" i="4" s="1"/>
  <c r="O80" i="16"/>
  <c r="G29" i="18"/>
  <c r="G35" i="17"/>
  <c r="G59" i="16"/>
  <c r="D15" i="16" s="1"/>
  <c r="G72" i="16"/>
  <c r="D16" i="16" s="1"/>
  <c r="G31" i="16"/>
  <c r="G32" i="16" s="1"/>
  <c r="L14" i="17"/>
  <c r="G70" i="17" l="1"/>
  <c r="G59" i="18"/>
  <c r="L17" i="17"/>
  <c r="H18" i="4" s="1"/>
  <c r="G80" i="16"/>
  <c r="D15" i="17"/>
  <c r="D14" i="17"/>
  <c r="D14" i="18"/>
  <c r="D14" i="16"/>
  <c r="D18" i="16" s="1"/>
  <c r="O29" i="15"/>
  <c r="F29" i="15"/>
  <c r="G29" i="15" s="1"/>
  <c r="D29" i="15"/>
  <c r="O27" i="15"/>
  <c r="F27" i="15"/>
  <c r="G27" i="15" s="1"/>
  <c r="D27" i="15"/>
  <c r="O24" i="15"/>
  <c r="F24" i="15"/>
  <c r="D24" i="15"/>
  <c r="O22" i="15"/>
  <c r="F22" i="15"/>
  <c r="G22" i="15" s="1"/>
  <c r="D22" i="15"/>
  <c r="O21" i="15"/>
  <c r="F21" i="15"/>
  <c r="D21" i="15"/>
  <c r="O20" i="15"/>
  <c r="F20" i="15"/>
  <c r="G20" i="15" s="1"/>
  <c r="D20" i="15"/>
  <c r="K14" i="15"/>
  <c r="C16" i="13"/>
  <c r="K16" i="13"/>
  <c r="K15" i="13"/>
  <c r="C15" i="13"/>
  <c r="O62" i="13"/>
  <c r="F62" i="13"/>
  <c r="G62" i="13" s="1"/>
  <c r="D62" i="13"/>
  <c r="O61" i="13"/>
  <c r="F61" i="13"/>
  <c r="G61" i="13" s="1"/>
  <c r="D61" i="13"/>
  <c r="O60" i="13"/>
  <c r="F60" i="13"/>
  <c r="G60" i="13" s="1"/>
  <c r="D60" i="13"/>
  <c r="O57" i="13"/>
  <c r="F57" i="13"/>
  <c r="G57" i="13" s="1"/>
  <c r="D57" i="13"/>
  <c r="O55" i="13"/>
  <c r="F55" i="13"/>
  <c r="G55" i="13" s="1"/>
  <c r="D55" i="13"/>
  <c r="O45" i="13"/>
  <c r="F45" i="13"/>
  <c r="G45" i="13" s="1"/>
  <c r="D45" i="13"/>
  <c r="O44" i="13"/>
  <c r="F44" i="13"/>
  <c r="G44" i="13" s="1"/>
  <c r="D44" i="13"/>
  <c r="O43" i="13"/>
  <c r="F43" i="13"/>
  <c r="G43" i="13" s="1"/>
  <c r="D43" i="13"/>
  <c r="O40" i="13"/>
  <c r="F40" i="13"/>
  <c r="G40" i="13" s="1"/>
  <c r="D40" i="13"/>
  <c r="O38" i="13"/>
  <c r="F38" i="13"/>
  <c r="G38" i="13" s="1"/>
  <c r="D38" i="13"/>
  <c r="O33" i="13"/>
  <c r="O30" i="13"/>
  <c r="F30" i="13"/>
  <c r="G30" i="13" s="1"/>
  <c r="D30" i="13"/>
  <c r="O29" i="13"/>
  <c r="F29" i="13"/>
  <c r="G29" i="13" s="1"/>
  <c r="D29" i="13"/>
  <c r="O28" i="13"/>
  <c r="F28" i="13"/>
  <c r="G28" i="13" s="1"/>
  <c r="D28" i="13"/>
  <c r="O27" i="13"/>
  <c r="F27" i="13"/>
  <c r="G27" i="13" s="1"/>
  <c r="D27" i="13"/>
  <c r="O26" i="13"/>
  <c r="F26" i="13"/>
  <c r="G26" i="13" s="1"/>
  <c r="D26" i="13"/>
  <c r="O25" i="13"/>
  <c r="F25" i="13"/>
  <c r="G25" i="13" s="1"/>
  <c r="D25" i="13"/>
  <c r="O24" i="13"/>
  <c r="F24" i="13"/>
  <c r="G24" i="13" s="1"/>
  <c r="D24" i="13"/>
  <c r="O22" i="13"/>
  <c r="F22" i="13"/>
  <c r="G22" i="13" s="1"/>
  <c r="D22" i="13"/>
  <c r="K14" i="13"/>
  <c r="C14" i="13"/>
  <c r="O46" i="12"/>
  <c r="F46" i="12"/>
  <c r="G46" i="12" s="1"/>
  <c r="D46" i="12"/>
  <c r="O45" i="12"/>
  <c r="F45" i="12"/>
  <c r="G45" i="12" s="1"/>
  <c r="D45" i="12"/>
  <c r="O44" i="12"/>
  <c r="F44" i="12"/>
  <c r="G44" i="12" s="1"/>
  <c r="D44" i="12"/>
  <c r="O43" i="12"/>
  <c r="G43" i="12"/>
  <c r="D43" i="12"/>
  <c r="O42" i="12"/>
  <c r="F42" i="12"/>
  <c r="G42" i="12" s="1"/>
  <c r="D42" i="12"/>
  <c r="O41" i="12"/>
  <c r="F41" i="12"/>
  <c r="G41" i="12" s="1"/>
  <c r="D41" i="12"/>
  <c r="O39" i="12"/>
  <c r="F39" i="12"/>
  <c r="G39" i="12" s="1"/>
  <c r="D39" i="12"/>
  <c r="O36" i="12"/>
  <c r="F36" i="12"/>
  <c r="G36" i="12" s="1"/>
  <c r="D36" i="12"/>
  <c r="O34" i="12"/>
  <c r="F34" i="12"/>
  <c r="G34" i="12" s="1"/>
  <c r="D34" i="12"/>
  <c r="O33" i="12"/>
  <c r="F33" i="12"/>
  <c r="G33" i="12" s="1"/>
  <c r="D33" i="12"/>
  <c r="O32" i="12"/>
  <c r="F32" i="12"/>
  <c r="G32" i="12" s="1"/>
  <c r="D32" i="12"/>
  <c r="O25" i="12"/>
  <c r="F25" i="12"/>
  <c r="G25" i="12" s="1"/>
  <c r="D25" i="12"/>
  <c r="O24" i="12"/>
  <c r="F24" i="12"/>
  <c r="G24" i="12" s="1"/>
  <c r="D24" i="12"/>
  <c r="O23" i="12"/>
  <c r="F23" i="12"/>
  <c r="G23" i="12" s="1"/>
  <c r="D23" i="12"/>
  <c r="O21" i="12"/>
  <c r="F21" i="12"/>
  <c r="G21" i="12" s="1"/>
  <c r="D21" i="12"/>
  <c r="K15" i="12"/>
  <c r="C15" i="12"/>
  <c r="K14" i="12"/>
  <c r="C14" i="12"/>
  <c r="K15" i="11"/>
  <c r="O53" i="11"/>
  <c r="F53" i="11"/>
  <c r="G53" i="11" s="1"/>
  <c r="D53" i="11"/>
  <c r="O52" i="11"/>
  <c r="F52" i="11"/>
  <c r="G52" i="11" s="1"/>
  <c r="D52" i="11"/>
  <c r="O51" i="11"/>
  <c r="F51" i="11"/>
  <c r="G51" i="11" s="1"/>
  <c r="D51" i="11"/>
  <c r="O50" i="11"/>
  <c r="F50" i="11"/>
  <c r="G50" i="11" s="1"/>
  <c r="D50" i="11"/>
  <c r="O49" i="11"/>
  <c r="F49" i="11"/>
  <c r="G49" i="11" s="1"/>
  <c r="D49" i="11"/>
  <c r="O47" i="11"/>
  <c r="F47" i="11"/>
  <c r="G47" i="11" s="1"/>
  <c r="D47" i="11"/>
  <c r="O44" i="11"/>
  <c r="F44" i="11"/>
  <c r="G44" i="11" s="1"/>
  <c r="D44" i="11"/>
  <c r="O42" i="11"/>
  <c r="F42" i="11"/>
  <c r="G42" i="11" s="1"/>
  <c r="D42" i="11"/>
  <c r="O41" i="11"/>
  <c r="F41" i="11"/>
  <c r="G41" i="11" s="1"/>
  <c r="D41" i="11"/>
  <c r="O40" i="11"/>
  <c r="F40" i="11"/>
  <c r="G40" i="11" s="1"/>
  <c r="D40" i="11"/>
  <c r="O32" i="11"/>
  <c r="F32" i="11"/>
  <c r="G32" i="11" s="1"/>
  <c r="D32" i="11"/>
  <c r="O31" i="11"/>
  <c r="F31" i="11"/>
  <c r="G31" i="11" s="1"/>
  <c r="D31" i="11"/>
  <c r="O30" i="11"/>
  <c r="F30" i="11"/>
  <c r="G30" i="11" s="1"/>
  <c r="D30" i="11"/>
  <c r="O29" i="11"/>
  <c r="F29" i="11"/>
  <c r="G29" i="11" s="1"/>
  <c r="D29" i="11"/>
  <c r="O28" i="11"/>
  <c r="F28" i="11"/>
  <c r="G28" i="11" s="1"/>
  <c r="D28" i="11"/>
  <c r="O26" i="11"/>
  <c r="F26" i="11"/>
  <c r="G26" i="11" s="1"/>
  <c r="D26" i="11"/>
  <c r="O25" i="11"/>
  <c r="F25" i="11"/>
  <c r="G25" i="11" s="1"/>
  <c r="D25" i="11"/>
  <c r="O23" i="11"/>
  <c r="F23" i="11"/>
  <c r="G23" i="11" s="1"/>
  <c r="D23" i="11"/>
  <c r="O22" i="11"/>
  <c r="F22" i="11"/>
  <c r="G22" i="11" s="1"/>
  <c r="D22" i="11"/>
  <c r="C15" i="11"/>
  <c r="K14" i="11"/>
  <c r="C14" i="11"/>
  <c r="C16" i="10"/>
  <c r="C15" i="10"/>
  <c r="K15" i="10"/>
  <c r="O70" i="10"/>
  <c r="F70" i="10"/>
  <c r="G70" i="10" s="1"/>
  <c r="D70" i="10"/>
  <c r="O69" i="10"/>
  <c r="F69" i="10"/>
  <c r="G69" i="10" s="1"/>
  <c r="D69" i="10"/>
  <c r="O67" i="10"/>
  <c r="F67" i="10"/>
  <c r="G67" i="10" s="1"/>
  <c r="D67" i="10"/>
  <c r="O56" i="10"/>
  <c r="F56" i="10"/>
  <c r="G56" i="10" s="1"/>
  <c r="D56" i="10"/>
  <c r="O55" i="10"/>
  <c r="F55" i="10"/>
  <c r="G55" i="10" s="1"/>
  <c r="D55" i="10"/>
  <c r="O54" i="10"/>
  <c r="F54" i="10"/>
  <c r="G54" i="10" s="1"/>
  <c r="D54" i="10"/>
  <c r="O53" i="10"/>
  <c r="F53" i="10"/>
  <c r="G53" i="10" s="1"/>
  <c r="D53" i="10"/>
  <c r="O51" i="10"/>
  <c r="F51" i="10"/>
  <c r="G51" i="10" s="1"/>
  <c r="D51" i="10"/>
  <c r="O45" i="10"/>
  <c r="F45" i="10"/>
  <c r="G45" i="10" s="1"/>
  <c r="D45" i="10"/>
  <c r="O43" i="10"/>
  <c r="F43" i="10"/>
  <c r="G43" i="10" s="1"/>
  <c r="D43" i="10"/>
  <c r="O42" i="10"/>
  <c r="F42" i="10"/>
  <c r="G42" i="10" s="1"/>
  <c r="D42" i="10"/>
  <c r="O41" i="10"/>
  <c r="F41" i="10"/>
  <c r="G41" i="10" s="1"/>
  <c r="D41" i="10"/>
  <c r="O31" i="10"/>
  <c r="F31" i="10"/>
  <c r="G31" i="10" s="1"/>
  <c r="D31" i="10"/>
  <c r="O30" i="10"/>
  <c r="F30" i="10"/>
  <c r="G30" i="10" s="1"/>
  <c r="D30" i="10"/>
  <c r="O28" i="10"/>
  <c r="F28" i="10"/>
  <c r="G28" i="10" s="1"/>
  <c r="D28" i="10"/>
  <c r="O26" i="10"/>
  <c r="F26" i="10"/>
  <c r="G26" i="10" s="1"/>
  <c r="D26" i="10"/>
  <c r="O25" i="10"/>
  <c r="F25" i="10"/>
  <c r="G25" i="10" s="1"/>
  <c r="D25" i="10"/>
  <c r="O23" i="10"/>
  <c r="F23" i="10"/>
  <c r="G23" i="10" s="1"/>
  <c r="D23" i="10"/>
  <c r="O22" i="10"/>
  <c r="F22" i="10"/>
  <c r="G22" i="10" s="1"/>
  <c r="D22" i="10"/>
  <c r="K14" i="10"/>
  <c r="C14" i="10"/>
  <c r="D40" i="9"/>
  <c r="F40" i="9"/>
  <c r="G40" i="9" s="1"/>
  <c r="O40" i="9"/>
  <c r="D41" i="9"/>
  <c r="F41" i="9"/>
  <c r="G41" i="9" s="1"/>
  <c r="O41" i="9"/>
  <c r="D43" i="9"/>
  <c r="F43" i="9"/>
  <c r="G43" i="9" s="1"/>
  <c r="O43" i="9"/>
  <c r="D45" i="9"/>
  <c r="F45" i="9"/>
  <c r="O45" i="9"/>
  <c r="D46" i="9"/>
  <c r="F46" i="9"/>
  <c r="G46" i="9" s="1"/>
  <c r="O46" i="9"/>
  <c r="D51" i="9"/>
  <c r="F51" i="9"/>
  <c r="G51" i="9" s="1"/>
  <c r="O51" i="9"/>
  <c r="D49" i="9"/>
  <c r="F49" i="9"/>
  <c r="G49" i="9" s="1"/>
  <c r="O49" i="9"/>
  <c r="D52" i="9"/>
  <c r="F52" i="9"/>
  <c r="G52" i="9" s="1"/>
  <c r="O52" i="9"/>
  <c r="D53" i="9"/>
  <c r="F53" i="9"/>
  <c r="G53" i="9" s="1"/>
  <c r="O53" i="9"/>
  <c r="D54" i="9"/>
  <c r="F54" i="9"/>
  <c r="G54" i="9" s="1"/>
  <c r="D21" i="9"/>
  <c r="F21" i="9"/>
  <c r="G21" i="9" s="1"/>
  <c r="O21" i="9"/>
  <c r="D23" i="9"/>
  <c r="F23" i="9"/>
  <c r="G23" i="9" s="1"/>
  <c r="O23" i="9"/>
  <c r="D24" i="9"/>
  <c r="F24" i="9"/>
  <c r="G24" i="9" s="1"/>
  <c r="O24" i="9"/>
  <c r="D29" i="9"/>
  <c r="F29" i="9"/>
  <c r="G29" i="9" s="1"/>
  <c r="O29" i="9"/>
  <c r="D30" i="9"/>
  <c r="F30" i="9"/>
  <c r="G30" i="9" s="1"/>
  <c r="O30" i="9"/>
  <c r="D31" i="9"/>
  <c r="F31" i="9"/>
  <c r="G31" i="9" s="1"/>
  <c r="O31" i="9"/>
  <c r="D32" i="9"/>
  <c r="F32" i="9"/>
  <c r="G32" i="9" s="1"/>
  <c r="O32" i="9"/>
  <c r="K14" i="9"/>
  <c r="C14" i="9"/>
  <c r="G21" i="15" l="1"/>
  <c r="G71" i="10"/>
  <c r="G24" i="15"/>
  <c r="G38" i="15" s="1"/>
  <c r="G45" i="9"/>
  <c r="G58" i="9" s="1"/>
  <c r="O34" i="13"/>
  <c r="L14" i="13" s="1"/>
  <c r="D17" i="17"/>
  <c r="D18" i="4" s="1"/>
  <c r="G26" i="12"/>
  <c r="G49" i="13"/>
  <c r="G52" i="12"/>
  <c r="G33" i="13"/>
  <c r="G32" i="13"/>
  <c r="G62" i="10"/>
  <c r="G61" i="10"/>
  <c r="G60" i="11"/>
  <c r="G61" i="11"/>
  <c r="G35" i="10"/>
  <c r="G35" i="11"/>
  <c r="G33" i="9"/>
  <c r="G50" i="13"/>
  <c r="O65" i="13"/>
  <c r="L16" i="13" s="1"/>
  <c r="O51" i="13"/>
  <c r="L15" i="13" s="1"/>
  <c r="O37" i="10"/>
  <c r="O61" i="9"/>
  <c r="G27" i="12"/>
  <c r="G51" i="12"/>
  <c r="O35" i="9"/>
  <c r="O39" i="15"/>
  <c r="O48" i="15" s="1"/>
  <c r="G36" i="10"/>
  <c r="G72" i="10"/>
  <c r="G34" i="9"/>
  <c r="O36" i="11"/>
  <c r="O62" i="11"/>
  <c r="O63" i="10"/>
  <c r="L15" i="10" s="1"/>
  <c r="D17" i="4"/>
  <c r="K19" i="4"/>
  <c r="D16" i="18"/>
  <c r="D19" i="4" s="1"/>
  <c r="K18" i="4"/>
  <c r="K17" i="4"/>
  <c r="O28" i="12"/>
  <c r="O53" i="12"/>
  <c r="L15" i="12" s="1"/>
  <c r="O73" i="10"/>
  <c r="L16" i="10" s="1"/>
  <c r="G37" i="15" l="1"/>
  <c r="G59" i="9"/>
  <c r="G60" i="9"/>
  <c r="G39" i="15"/>
  <c r="G48" i="15" s="1"/>
  <c r="G62" i="11"/>
  <c r="O70" i="9"/>
  <c r="L14" i="15"/>
  <c r="L16" i="15" s="1"/>
  <c r="G63" i="10"/>
  <c r="D15" i="10" s="1"/>
  <c r="G37" i="10"/>
  <c r="D14" i="10" s="1"/>
  <c r="G35" i="9"/>
  <c r="G73" i="10"/>
  <c r="D16" i="10" s="1"/>
  <c r="G53" i="12"/>
  <c r="O74" i="13"/>
  <c r="L14" i="12"/>
  <c r="L17" i="12" s="1"/>
  <c r="H14" i="4" s="1"/>
  <c r="O63" i="12"/>
  <c r="O83" i="11"/>
  <c r="O82" i="10"/>
  <c r="G51" i="13"/>
  <c r="D15" i="13" s="1"/>
  <c r="L18" i="13"/>
  <c r="H15" i="4" s="1"/>
  <c r="L15" i="9"/>
  <c r="G28" i="12"/>
  <c r="L14" i="11"/>
  <c r="G64" i="13"/>
  <c r="G63" i="13"/>
  <c r="L14" i="10"/>
  <c r="L18" i="10" s="1"/>
  <c r="H12" i="4" s="1"/>
  <c r="L14" i="9"/>
  <c r="L15" i="11"/>
  <c r="G61" i="9" l="1"/>
  <c r="D15" i="9" s="1"/>
  <c r="H16" i="4"/>
  <c r="L18" i="11"/>
  <c r="H13" i="4" s="1"/>
  <c r="G65" i="13"/>
  <c r="L17" i="9"/>
  <c r="H11" i="4" s="1"/>
  <c r="G63" i="12"/>
  <c r="K12" i="4"/>
  <c r="D18" i="10"/>
  <c r="D12" i="4" s="1"/>
  <c r="G82" i="10"/>
  <c r="D14" i="12"/>
  <c r="K14" i="4" s="1"/>
  <c r="D14" i="9"/>
  <c r="D14" i="15"/>
  <c r="D15" i="12"/>
  <c r="D15" i="11"/>
  <c r="G34" i="11"/>
  <c r="G36" i="11" s="1"/>
  <c r="G83" i="11" s="1"/>
  <c r="G70" i="9" l="1"/>
  <c r="D16" i="15"/>
  <c r="D16" i="4" s="1"/>
  <c r="H20" i="4"/>
  <c r="H21" i="4" s="1"/>
  <c r="D16" i="13"/>
  <c r="K11" i="4"/>
  <c r="D17" i="9"/>
  <c r="D11" i="4" s="1"/>
  <c r="D17" i="12"/>
  <c r="D14" i="4" s="1"/>
  <c r="D14" i="11"/>
  <c r="H23" i="4" l="1"/>
  <c r="H22" i="4"/>
  <c r="H24" i="4"/>
  <c r="D18" i="11"/>
  <c r="D13" i="4" s="1"/>
  <c r="K13" i="4"/>
  <c r="H25" i="4" l="1"/>
  <c r="H26" i="4" s="1"/>
  <c r="H27" i="4" s="1"/>
  <c r="G34" i="13"/>
  <c r="G74" i="13" s="1"/>
  <c r="D14" i="13" l="1"/>
  <c r="D18" i="13" l="1"/>
  <c r="D15" i="4" s="1"/>
  <c r="D20" i="4" s="1"/>
  <c r="K15" i="4"/>
  <c r="K20" i="4" s="1"/>
  <c r="K22" i="4" l="1"/>
  <c r="K21" i="4"/>
  <c r="K24" i="4"/>
  <c r="K23" i="4"/>
  <c r="D21" i="4"/>
  <c r="D23" i="4"/>
  <c r="D22" i="4"/>
  <c r="D24" i="4"/>
  <c r="D25" i="4" l="1"/>
  <c r="D26" i="4" s="1"/>
  <c r="D27" i="4" s="1"/>
  <c r="K25" i="4"/>
  <c r="K26" i="4" s="1"/>
  <c r="K27" i="4" s="1"/>
</calcChain>
</file>

<file path=xl/sharedStrings.xml><?xml version="1.0" encoding="utf-8"?>
<sst xmlns="http://schemas.openxmlformats.org/spreadsheetml/2006/main" count="1943" uniqueCount="310">
  <si>
    <t>Cantidad</t>
  </si>
  <si>
    <t>Descripción</t>
  </si>
  <si>
    <t>P/U</t>
  </si>
  <si>
    <t>ud</t>
  </si>
  <si>
    <t xml:space="preserve">Total . . . . . . . </t>
  </si>
  <si>
    <t>Referencia 
(modelo o similar)</t>
  </si>
  <si>
    <t>IVA</t>
  </si>
  <si>
    <t>TOTAL</t>
  </si>
  <si>
    <t>TOTALES</t>
  </si>
  <si>
    <t>CONCEPTO</t>
  </si>
  <si>
    <t>m</t>
  </si>
  <si>
    <t>pa</t>
  </si>
  <si>
    <t>TOTAL PRESUPUESTO EJECUCION</t>
  </si>
  <si>
    <t>Descripcion</t>
  </si>
  <si>
    <t>Referencia (modelo)</t>
  </si>
  <si>
    <t>OFERTA</t>
  </si>
  <si>
    <t>METRO de MADRID</t>
  </si>
  <si>
    <t xml:space="preserve">TOTAL </t>
  </si>
  <si>
    <t>PRESUPUESTO BASE LICITACION</t>
  </si>
  <si>
    <t>Gastos Generales empresa (9%)</t>
  </si>
  <si>
    <t>Beneficio Industrial (6%)</t>
  </si>
  <si>
    <t>Báculo de 4 metros de altura para la colocación de una cámara de videovigilancia. Incluye el soporte de suelo 53081, el tramo inferior de 1 metro de altura 61100 y el tramo superior 3 metros 61102 de Satélite Rover. El tramo superior, tiene un diámetro de tubo de 60mm y está provisto de un tapón para evitar que el agua dañe el cableado de la cámara.</t>
  </si>
  <si>
    <t>TDT0065</t>
  </si>
  <si>
    <t>Switch POE</t>
  </si>
  <si>
    <t>GrandStream</t>
  </si>
  <si>
    <t>GXV3350</t>
  </si>
  <si>
    <t>DESCRIPCIÓN</t>
  </si>
  <si>
    <t>PRECIO U.</t>
  </si>
  <si>
    <t>Báculo abatible</t>
  </si>
  <si>
    <t>Báculo</t>
  </si>
  <si>
    <t>Grabador IP (24 entradas)</t>
  </si>
  <si>
    <t>Licencia Cámara</t>
  </si>
  <si>
    <t>Analitica recinto</t>
  </si>
  <si>
    <t>Ampliacion licencia IP grabador recinto</t>
  </si>
  <si>
    <t>Conversor FO Multimodo POE</t>
  </si>
  <si>
    <t>Conversor FO Monomodo POE</t>
  </si>
  <si>
    <t>Ampliación Haz Barrera de Infrarrojos Exterior</t>
  </si>
  <si>
    <t>Central de Intrusion. Incluye F.A y bateria</t>
  </si>
  <si>
    <t>Modulo TCP/IP central</t>
  </si>
  <si>
    <t>Sirena para conexión a central</t>
  </si>
  <si>
    <t>Detector Volumetrico doble tecnologia</t>
  </si>
  <si>
    <t>Contacto Magnetico Grado III</t>
  </si>
  <si>
    <t>Armarios intermedios</t>
  </si>
  <si>
    <t>Caja Metálica 15x15</t>
  </si>
  <si>
    <t>Alquiler elevador precio/día</t>
  </si>
  <si>
    <t>Obra civil</t>
  </si>
  <si>
    <t>Partida alzada cableado, pequeño material y accesorios.</t>
  </si>
  <si>
    <t>Partida alzada instalacion, configuracion, ingenieria, puesta en marcha y documentacion</t>
  </si>
  <si>
    <t>Cable intrusion</t>
  </si>
  <si>
    <t xml:space="preserve">Chapa perforada </t>
  </si>
  <si>
    <t>Grabador IP</t>
  </si>
  <si>
    <t>Axis</t>
  </si>
  <si>
    <t>Camera Station S2016</t>
  </si>
  <si>
    <t>Cámara térmica</t>
  </si>
  <si>
    <t>Q1941-E</t>
  </si>
  <si>
    <t>Cámara IP 2 Mpx</t>
  </si>
  <si>
    <t>P3225-VE-MKII</t>
  </si>
  <si>
    <t>Central de Intrusion y módulo etehrnet</t>
  </si>
  <si>
    <t>Honeywell</t>
  </si>
  <si>
    <t>C096-D-E1</t>
  </si>
  <si>
    <t>Teclado central</t>
  </si>
  <si>
    <t>MK-7</t>
  </si>
  <si>
    <t>CQG</t>
  </si>
  <si>
    <t>Multibox grado 3</t>
  </si>
  <si>
    <t>Texecom</t>
  </si>
  <si>
    <t>AFB-0048</t>
  </si>
  <si>
    <t>Módulo de reles</t>
  </si>
  <si>
    <t>A9188-VE</t>
  </si>
  <si>
    <t>CONSUMO EQUIPOS (W)</t>
  </si>
  <si>
    <t>1.- ATR</t>
  </si>
  <si>
    <t>2.- PERÍMETRO</t>
  </si>
  <si>
    <t>ELEVADOR</t>
  </si>
  <si>
    <t>Cámara IP 2MPX</t>
  </si>
  <si>
    <t>Cámara Térmica</t>
  </si>
  <si>
    <t>Analítica Vídeo</t>
  </si>
  <si>
    <t>CONSULTAR</t>
  </si>
  <si>
    <t>BAC6MC</t>
  </si>
  <si>
    <t>REFERENCIA</t>
  </si>
  <si>
    <t>Analitica de video Vtrack-Intrusionm, licencia por canal para Detección  y  notificación  de  la  intrusión  dentro  de  áreas  virtuales  o  el  cruce  de  líneas  virtuales 
(TripWire) por objetos de interés</t>
  </si>
  <si>
    <t>VTRACK-INTRUSION</t>
  </si>
  <si>
    <t>AM60x40</t>
  </si>
  <si>
    <t>TUBAC20</t>
  </si>
  <si>
    <t>TUBAC32</t>
  </si>
  <si>
    <t>LIC_CAM</t>
  </si>
  <si>
    <t>ANA_REC</t>
  </si>
  <si>
    <t>LIC_GRAB</t>
  </si>
  <si>
    <t>SWICH_POE</t>
  </si>
  <si>
    <t>CONV_FO_MM</t>
  </si>
  <si>
    <t>CONV_FO_SM</t>
  </si>
  <si>
    <t>BAR_IR</t>
  </si>
  <si>
    <t>OBRAS</t>
  </si>
  <si>
    <t>FO_OM3</t>
  </si>
  <si>
    <t>C_ELE_3X2,5</t>
  </si>
  <si>
    <t>C_ELE_3X1,5</t>
  </si>
  <si>
    <t>CHAPA</t>
  </si>
  <si>
    <t>CAJA_15X15</t>
  </si>
  <si>
    <t>Switch POE de exterior, 8 puertos Gigabit Ethernet con salida PoE y dos puertos SFP+ para enlaces ascendentes de fibra óptica 10G por medio de interfaces GBIC. Deberá Soportar VLAN, STP, RSTP, etc. Posibilidad de configuración remota vía Web. Incluidos modulos de los extremos del enlace SPF TL-SM5110-SR o modulo compatible.</t>
  </si>
  <si>
    <t>RENOVACIÓN SISTEMAS DE SEGURIDAD RECINTO DE ALUCHE</t>
  </si>
  <si>
    <t>PRESUPUESTO INSTALACION Y RENOVACIÓN SISTEMAS DE SEGURIDAD RECINTO DE ALUCHE</t>
  </si>
  <si>
    <t>TOTAL RENOVACIÓN SISTEMAS DE SEGURIDAD RECINTO DE ALUCHE</t>
  </si>
  <si>
    <t>PRESUPUESTO INSTALACION Y RENOVACIÓN SISTEMAS DE SEGURIDAD RECINTO DE FUENCARRAL</t>
  </si>
  <si>
    <t>RENOVACIÓN SISTEMAS DE SEGURIDAD RECINTO DE FUENCARRAL</t>
  </si>
  <si>
    <t>TOTAL RENOVACIÓN SISTEMAS DE SEGURIDAD RECINTO DE FUENCARRAL</t>
  </si>
  <si>
    <t>3.- PERÍMETRO</t>
  </si>
  <si>
    <t>PRESUPUESTO INSTALACION Y RENOVACIÓN SISTEMAS DE SEGURIDAD RECINTO DE SACEDAL</t>
  </si>
  <si>
    <t>RENOVACIÓN SISTEMAS DE SEGURIDAD RECINTO DE SACEDAL</t>
  </si>
  <si>
    <t>TOTAL RENOVACIÓN SISTEMAS DE SEGURIDAD RECINTO DE SACEDAL</t>
  </si>
  <si>
    <t>PRESUPUESTO INSTALACION Y RENOVACIÓN SISTEMAS DE SEGURIDAD RECINTO DE LAGUNA</t>
  </si>
  <si>
    <t>RENOVACIÓN SISTEMAS DE SEGURIDAD RECINTO DE LAGUNA</t>
  </si>
  <si>
    <t>TOTAL RENOVACIÓN SISTEMAS DE SEGURIDAD RECINTO DE LAGUNA</t>
  </si>
  <si>
    <t>3.- COCHERA 2M</t>
  </si>
  <si>
    <t>TOTAL RENOVACIÓN SISTEMAS DE SEGURIDAD RECINTO DE HORTALEZA ZONA 1</t>
  </si>
  <si>
    <t>RENOVACIÓN SISTEMAS DE SEGURIDAD RECINTO DE HORTALEZA ZONA 1</t>
  </si>
  <si>
    <t>PRESUPUESTO INSTALACION Y RENOVACIÓN SISTEMAS DE SEGURIDAD RECINTO DE HORTALEZA ZONA 1</t>
  </si>
  <si>
    <t>2.- PARKING</t>
  </si>
  <si>
    <t>PRESUPUESTO INSTALACION Y RENOVACIÓN SISTEMAS DE SEGURIDAD RECINTO DE HORTALEZA ZONA 4</t>
  </si>
  <si>
    <t>RENOVACIÓN SISTEMAS DE SEGURIDAD RECINTO DE HORTALEZA ZONA 4</t>
  </si>
  <si>
    <t>TOTAL RENOVACIÓN SISTEMAS DE SEGURIDAD RECINTO DE HORTALEZA ZONA 4</t>
  </si>
  <si>
    <t>3.- ZONA DEPÓSITO</t>
  </si>
  <si>
    <t>RENOVACIÓN SISTEMAS DE SEGURIDAD RECINTO DE HORTALEZA VALDECARROS</t>
  </si>
  <si>
    <t>RENOVACIÓN SISTEMAS DE SEGURIDAD RECINTO DE VALDECARROS</t>
  </si>
  <si>
    <t>RENOVACIÓN SISTEMAS DE SEGURIDAD RECINTO DE  LORANCA</t>
  </si>
  <si>
    <t>RENOVACIÓN SISTEMAS DE SEGURIDAD RECINTO DE LORANCA</t>
  </si>
  <si>
    <t>TOTAL RENOVACIÓN SISTEMAS DE SEGURIDAD RECINTO DE LORANCA</t>
  </si>
  <si>
    <t>PRESUPUESTO INSTALACION Y RENOVACIÓN SISTEMAS DE SEGURIDAD RECINTO DE VALDECARROS</t>
  </si>
  <si>
    <t>TOTAL RENOVACIÓN SISTEMAS DE SEGURIDAD RECINTO DE VALDECARROS</t>
  </si>
  <si>
    <t>PRESUPUESTO INSTALACION Y RENOVACIÓN SISTEMAS DE SEGURIDAD RECINTO DE COCHERAS PUERTA DE ARGANDA</t>
  </si>
  <si>
    <t>RENOVACIÓN SISTEMAS DE SEGURIDAD RECINTO DE HORTALEZA COCHERAS PUERTA DE ARGANDA</t>
  </si>
  <si>
    <t>RENOVACIÓN SISTEMAS DE SEGURIDAD RECINTO DE COCHERAS PUERTA DE ARGANDA</t>
  </si>
  <si>
    <t>TOTAL RENOVACIÓN SISTEMAS DE SEGURIDAD RECINTO DE COCHERAS PUERTA DE ARGANDA</t>
  </si>
  <si>
    <t>PRECIO</t>
  </si>
  <si>
    <t>PRESUPUESTO SOLO ATR</t>
  </si>
  <si>
    <t>ATR 5_ALUCHE</t>
  </si>
  <si>
    <t>ATR 6_FUENCARRAL</t>
  </si>
  <si>
    <t>ATR 7_SACEDAL</t>
  </si>
  <si>
    <t>ATR 8_LAGUNA</t>
  </si>
  <si>
    <t>ATR 9.1_HORTALEZA</t>
  </si>
  <si>
    <t>ATR 9.4_HORTALEZA</t>
  </si>
  <si>
    <t>ATR 11_LORANCA</t>
  </si>
  <si>
    <t>ATR 12_VALDECARROS</t>
  </si>
  <si>
    <t>ATR COCHERAS_PTA_ARGANDA</t>
  </si>
  <si>
    <t>RENOVACIÓN INSTALACIÓN DE SISTEMAS DE SEGURIDAD EN EL ATR DE LOS RECINTOS DE METRO DE MADRID</t>
  </si>
  <si>
    <t>PRESUPUESTO TOTAL</t>
  </si>
  <si>
    <t>RENOVACIÓN INSTALACIÓN DE SISTEMAS DE SEGURIDAD EN  LOS RECINTOS DE METRO DE MADRID</t>
  </si>
  <si>
    <t>5_ALUCHE</t>
  </si>
  <si>
    <t>6_FUENCARRAL</t>
  </si>
  <si>
    <t>7_SACEDAL</t>
  </si>
  <si>
    <t>8_LAGUNA</t>
  </si>
  <si>
    <t>9.1_HORTALEZA</t>
  </si>
  <si>
    <t>9.4_HORTALEZA</t>
  </si>
  <si>
    <t>11_LORANCA</t>
  </si>
  <si>
    <t>12_VALDECARROS</t>
  </si>
  <si>
    <t>COCHERAS_PTA_ARGANDA</t>
  </si>
  <si>
    <t>3.- CAMBIO A IP</t>
  </si>
  <si>
    <t>ÍNDICE</t>
  </si>
  <si>
    <t>Switch 8POE</t>
  </si>
  <si>
    <t>Switch 16POE</t>
  </si>
  <si>
    <t>SWICH_8POE</t>
  </si>
  <si>
    <t>SWICH_16POE</t>
  </si>
  <si>
    <t xml:space="preserve">Báculo de 4 metros de altura para la colocación de una cámara de videovigilancia. Incluye el soporte de suelo. </t>
  </si>
  <si>
    <t>BACULO</t>
  </si>
  <si>
    <t>PARTIDA OBRA CIVIL AUXILIAR</t>
  </si>
  <si>
    <t>OB_AUX</t>
  </si>
  <si>
    <t>PARTIDA ENERGÍA AUXILIAR</t>
  </si>
  <si>
    <t>OB_ENE_AUX</t>
  </si>
  <si>
    <t>1.- PERÍMETRO</t>
  </si>
  <si>
    <t>Videoportero</t>
  </si>
  <si>
    <t>Terminal GrandStream</t>
  </si>
  <si>
    <t>VIDEOPORTERO</t>
  </si>
  <si>
    <t>GRANDSTREAM</t>
  </si>
  <si>
    <t>Videoportero Antivandalico Ip 2N Helios Force con camara HD,protocolo SIP, 2 canales de voz, 2 micrófonos incorporados, altavoz de 10W. Sistema de cancelación de eco y un boton de llamada, incluye caja de empotrar,</t>
  </si>
  <si>
    <t>Terminal Grandstream para atención a videoporteros GXV3350 Teléfono multimedia IP de 16 líneas, con pantalla táctil capacitiva de 5” sistema operativo Android 7,0, Cámara inclinable CMOS de 1M, agrega dos puertos Gigabit con PoE/PoE+, Wi-Fi doble banda y Bluetooth integrado, Altavoz HD de micrófono dual con reducción de ruido.</t>
  </si>
  <si>
    <t>Convertidor de medios Gigabit industrial IGTP-80xT 1000Base-X a 10/100/1000Base-T con un inyector de alta potencia a través de Ethernet (PoE) 802.3at carcasa resistente IP30. Puerto de enlace ascendente de fibra óptica 1000Base-X, de alta velocidad y de larga distancia. El sistema de alimentación admite entradas de alimentación de 24/48Vcc para redundancia de alimentación y flexibilidad operativa.</t>
  </si>
  <si>
    <t xml:space="preserve">Switch Industrial . Resiste temperaturas extremas. (Caracteristicas del tipo o similares a: Cisco IE 2000-8TC-G-E Industrial Ethernet Switch). Administrable - montaje en carril DIN. Puertos 8 POE+ 10/100 + 2 puertos 10/100/1000 Gigabit para fibra SFP. Certificado para vibración, choque, caída libre, EMI, EMS. Equipo con el calificativo de "coated" ( barniz tropicalizado en todas las placas electrónicas). </t>
  </si>
  <si>
    <t xml:space="preserve">Switch Industrial. Resiste temperaturas extremas. (Caracteristicas del tipo o similares a: Cisco IE 2000-16PTC-G-E Industrial Ethernet Switch). Administrable - montaje en carril DIN. Puertos 16 POE+ 10/100 + 2 puertos 10/100/1000 Gigabit para fibra SFP. Certificado para vibración, choque, caída libre, EMI, EMS. Equipo con el calificativo de "coated" ( barniz tropicalizado en todas las placas electrónicas). </t>
  </si>
  <si>
    <t>Conversor Midspan POE</t>
  </si>
  <si>
    <t>AX_T8154</t>
  </si>
  <si>
    <t>IE-4000-4S8P4G-E</t>
  </si>
  <si>
    <t>Midspan SFP AXIS T8154 convertidor de medios, Plug and Play y con PoE. Fuente de alimentación integrada. Entrada de datos a través de SFP o RJ45. High PoE de 60 W.</t>
  </si>
  <si>
    <t>MODULO Transceptor SFP GLC-LX-SM-RGD - 1000BASE-LX. Modulo, 1000 Mbps (1 Gbps) | Fibra Monomodo | LC | 10 km | o similar</t>
  </si>
  <si>
    <t>SFP GLC-LX-SM-RGD</t>
  </si>
  <si>
    <t xml:space="preserve">Switch Industrial. Resiste temperaturas extremas. (Caracteristicas del tipo o similares a: Cisco IE-4000-4S8P4G-E Industrial Ethernet Switch). Administrable - montaje en carril DIN. Puertos 16 puertos, 8 POE+ 10/100, 4 puertos 10/100/1000 Gigabit para fibra SFP. Certificado para vibración, choque, caída libre, EMI, EMS. Equipo con el calificativo de "coated" (barniz tropicalizado en todas las placas electrónicas). </t>
  </si>
  <si>
    <r>
      <t>Costes Directos (95%</t>
    </r>
    <r>
      <rPr>
        <sz val="11"/>
        <color rgb="FFFFFFFF"/>
        <rFont val="Arial"/>
        <family val="2"/>
      </rPr>
      <t>PEM</t>
    </r>
    <r>
      <rPr>
        <b/>
        <sz val="11"/>
        <color indexed="9"/>
        <rFont val="Arial"/>
        <family val="2"/>
      </rPr>
      <t>)</t>
    </r>
  </si>
  <si>
    <r>
      <t>Costes Indirectos (5%</t>
    </r>
    <r>
      <rPr>
        <sz val="11"/>
        <color rgb="FFFFFFFF"/>
        <rFont val="Arial"/>
        <family val="2"/>
      </rPr>
      <t>PEM</t>
    </r>
    <r>
      <rPr>
        <b/>
        <sz val="11"/>
        <color indexed="9"/>
        <rFont val="Arial"/>
        <family val="2"/>
      </rPr>
      <t>)</t>
    </r>
  </si>
  <si>
    <t>PONER UN 1 O UN 0 EN LA CASILLA DE LA DERECHA SI SE DESEA AÑADIR AL TOTAL LA PARTIDA DE ENERGÍA AUXILIAR Y OBRA CIVIL AUXILIAR DETODOS LOS RECINTOS</t>
  </si>
  <si>
    <t>PARTIDA AYUDAS ALBAÑILERÍA</t>
  </si>
  <si>
    <t>Q1951-E</t>
  </si>
  <si>
    <t>P3265LVE</t>
  </si>
  <si>
    <t>Suministro y montaje de cámara IP térmica de alta sensibilidad para uso exterior con sensor de 384x288, la imagen puede ampliarse hasta 768x576, soporte y adaptador para montaje en báculo.</t>
  </si>
  <si>
    <t>Perimeter Defender</t>
  </si>
  <si>
    <t>PNS-Axis_PerimeterDefender</t>
  </si>
  <si>
    <t>DE.3001</t>
  </si>
  <si>
    <t>ACAP PER_DEF</t>
  </si>
  <si>
    <t>3.- ACTUALIZACIÓN GRABADORES</t>
  </si>
  <si>
    <t>4.- ACTUALIZACIÓN GRABADORES</t>
  </si>
  <si>
    <t>2.- ACTUALIZACIÓN GRABADORES</t>
  </si>
  <si>
    <t xml:space="preserve"> </t>
  </si>
  <si>
    <t>HDD4TB</t>
  </si>
  <si>
    <t>HDD8TB</t>
  </si>
  <si>
    <t>HDD10TB</t>
  </si>
  <si>
    <t>HDD14TB</t>
  </si>
  <si>
    <t>HDD18TB</t>
  </si>
  <si>
    <t>Disco duro SERVIDOR 4TB</t>
  </si>
  <si>
    <t>Disco duro SERVIDOR 8TB</t>
  </si>
  <si>
    <t>Disco duro SERVIDOR 10TB</t>
  </si>
  <si>
    <t>Disco duro SERVIDOR 14TB</t>
  </si>
  <si>
    <t>Disco duro SERVIDOR 18TB</t>
  </si>
  <si>
    <t>Mano de obra instalación, configuración, puesta en marcha</t>
  </si>
  <si>
    <t>Mano de Obra</t>
  </si>
  <si>
    <t>3.- ACTUALIZACIÓN 8 GRABADORES</t>
  </si>
  <si>
    <t>Ampliación Disco Duro SERVIDOR HDD (4TB)</t>
  </si>
  <si>
    <t>Ampliación Disco Duro SERVIDOR HDD (8TB)</t>
  </si>
  <si>
    <t>Ampliación Disco Duro SERVIDOR HDD (10TB)</t>
  </si>
  <si>
    <t>Ampliación Disco Duro SERVIDOR HDD (14TB)</t>
  </si>
  <si>
    <t>Ampliación Disco Duro SERVIDOR HDD (18TB)</t>
  </si>
  <si>
    <t>Placa Base, Microprocesador, Tarjeta RED, Ventilador</t>
  </si>
  <si>
    <t>Actualización EQUIPO</t>
  </si>
  <si>
    <t>Ampliación Memoria RAM (4GB)</t>
  </si>
  <si>
    <t>Ampliación Memoria RAM (8GB)</t>
  </si>
  <si>
    <t>RAM4GB</t>
  </si>
  <si>
    <t>RAM8GB</t>
  </si>
  <si>
    <t>Memoría RAM 4GB</t>
  </si>
  <si>
    <t>Memoría RAM 8GB</t>
  </si>
  <si>
    <t>Ampliación MEMORIA RAM (4GB)</t>
  </si>
  <si>
    <t>Ampliación MEMORIA RAM (8GB)</t>
  </si>
  <si>
    <t>Placa Base, Microprocesador, Tarjeta RED, Ventilador, Licencia Windows</t>
  </si>
  <si>
    <t>ZPT606060</t>
  </si>
  <si>
    <t>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t>
  </si>
  <si>
    <t>Construción Zanja</t>
  </si>
  <si>
    <t>Zanja</t>
  </si>
  <si>
    <t>Construcción de zanja, incluyendo la excavación, la carga y el transporte de las tierras a vertedero autorizado, el suministro y colocación de 4 tubos de PVC corrugado, para instalaciones, relleno de la misma con material recuperado, y acabado superficial con hormigón en masa o asfalto; i/ p.p.medios auxiliares.</t>
  </si>
  <si>
    <t>Arqueta</t>
  </si>
  <si>
    <t>Arqueta de registro construida a base de ladrillo macizo de 1/2 pie de espesor, enfoscada y bruñida interiormente, con tapa metálica con cerco y tirador.</t>
  </si>
  <si>
    <t>Arqueta de Registro</t>
  </si>
  <si>
    <t>Zapata de Hormigón de 60x60x60 para báculo</t>
  </si>
  <si>
    <t>IGS-5225-8P2S2X</t>
  </si>
  <si>
    <t>Switch Industrial 8POE +2SFP+2SFP+</t>
  </si>
  <si>
    <t>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t>
  </si>
  <si>
    <t>Fuente de alimentación SW 48V</t>
  </si>
  <si>
    <t>NDR 480-48</t>
  </si>
  <si>
    <t>Módulo de fibra óptica 10GBASE-SR SFP+ de 1 puerto - 300 m (-40~75 grados C)</t>
  </si>
  <si>
    <t>MTB-TSR</t>
  </si>
  <si>
    <t>Módulo GBIC SFP MM</t>
  </si>
  <si>
    <t>Módulo GBIC SFP SM</t>
  </si>
  <si>
    <t>MTB-TSR2</t>
  </si>
  <si>
    <t>Módulo de fibra óptica 10GBASE-LR SFP+ de 1 puerto: 2 km (-40~75 grados C)</t>
  </si>
  <si>
    <t>Fuente de alimentación de carril DIN de 48 V, 480 W salida de CC ajustable de 48-56 V (-20 ~ 70 grados C)</t>
  </si>
  <si>
    <t>Caja distribución FO IP67</t>
  </si>
  <si>
    <t>Caja FO IP67</t>
  </si>
  <si>
    <t>Caja de distribución de fibra óptica caja de distribución de 1 a 16 puertos, capacidad para 24 empalmes en bandejas, impermeable, para exteriores, IP67</t>
  </si>
  <si>
    <t>FO_OS2</t>
  </si>
  <si>
    <t>FTP_CAT6A/CAT7</t>
  </si>
  <si>
    <t>Planet</t>
  </si>
  <si>
    <r>
      <t xml:space="preserve">Módulo SFP GBIC </t>
    </r>
    <r>
      <rPr>
        <b/>
        <sz val="11"/>
        <color rgb="FFFF0000"/>
        <rFont val="Calibri"/>
        <family val="2"/>
        <scheme val="minor"/>
      </rPr>
      <t>(NO)</t>
    </r>
  </si>
  <si>
    <r>
      <t>Industrial Ethernet Switch</t>
    </r>
    <r>
      <rPr>
        <b/>
        <sz val="11"/>
        <color rgb="FFFF0000"/>
        <rFont val="Calibri"/>
        <family val="2"/>
        <scheme val="minor"/>
      </rPr>
      <t xml:space="preserve"> (NO)</t>
    </r>
  </si>
  <si>
    <t>DESCRIPCIÓN EXTENDIDA</t>
  </si>
  <si>
    <t>Descripción Extendida</t>
  </si>
  <si>
    <t xml:space="preserve">Licenciamiento de cámara en servidor </t>
  </si>
  <si>
    <t xml:space="preserve">Licenciamiento de analítica de vídeo </t>
  </si>
  <si>
    <t xml:space="preserve">Ampliación licenciamiento de cámara en servidor </t>
  </si>
  <si>
    <t>Ampliación modulo completo de haz de insfrarojos</t>
  </si>
  <si>
    <t>Caja metálica 150x150mm</t>
  </si>
  <si>
    <t>Chapa perforada para evitar vandalización de elemento de seguridad</t>
  </si>
  <si>
    <t>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t>
  </si>
  <si>
    <t>T91B47</t>
  </si>
  <si>
    <t xml:space="preserve">Accesorio para montaje en poste T91B47 para instalaciones en interiores y exteriores, para postes con un diámetro de entre 50 y 150 mm (2"-6"). Incluye 1 par de correas de acero inoxidable de 570 mm (22,5") con interfaz de tornillo TX30 para facilitar la instalación. </t>
  </si>
  <si>
    <t>Accesorio para montaje en Báculo 50-150MM</t>
  </si>
  <si>
    <t>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t>
  </si>
  <si>
    <t>Báculos abatibles 6m acero inoxidable para cámaras. Suministro, instalación de báculos cilíndricos (154mm x 2mm) de altura 6m en acero inoxidable incluida cimentación en hormigon para baculo 60x60x60</t>
  </si>
  <si>
    <t>Suministro e instalación de manguera exterior RZ1-K 3x1,5mm</t>
  </si>
  <si>
    <t>Suministro e instalación de manguera exterior RZ1-K 3x2,5mm</t>
  </si>
  <si>
    <t>Suministro e instalación Tubo acero M20, p.p mano de obra y accesorios</t>
  </si>
  <si>
    <t>Suministro e instalación de tubo acero M32, p.p mano de obra y accesorios</t>
  </si>
  <si>
    <t>Suministro e instalación de tubo Acero 32mm</t>
  </si>
  <si>
    <t>Suministro e instalación de tubo Acero 20mm</t>
  </si>
  <si>
    <t>Suministro e instalación de cable 3x2,5</t>
  </si>
  <si>
    <t>Suministro e instalación de cable 3x1,5</t>
  </si>
  <si>
    <t>Suministro e instalación de cable FTP CAT6A/CAT7</t>
  </si>
  <si>
    <t>Suministro e instalación de manguera 12 Fibras Ópticas SM OS2</t>
  </si>
  <si>
    <t>Suministro e instalación de manguera 12 Fibras Ópticas MM OM3</t>
  </si>
  <si>
    <t xml:space="preserve">Suministro e instalación de manguera de fibra óptica de exterior con cubierta de PE protección UV, malla-chapa antiroedor, CPR, 12 FO MM, de tipo OM3, pp. Conexionado fusiones y certificación </t>
  </si>
  <si>
    <t xml:space="preserve">Suministro e instalación de manguera de fibra óptica de exterior con cubierta de PE protección UV, malla-chapa antiroedor, CPR, 12 FO SM, de tipo OS2 pp. Conexionado fusiones y certificación </t>
  </si>
  <si>
    <t xml:space="preserve">Suministro e instalación de manguera de FTP CAT6 o superior CAT7 de exterior con cubierta de PE protección UV, malla-chapa antiroedor, CPR, 4 pares trenzados, bindaje independiente por par y blindaje común a los 4 pares, pp. Conexionado y certificación </t>
  </si>
  <si>
    <t>Partida alzada traslado DOMO</t>
  </si>
  <si>
    <t>PA_01</t>
  </si>
  <si>
    <t>Traslado de DOMO a nuevo báculo abatible</t>
  </si>
  <si>
    <t>Módulo expansor + bateria</t>
  </si>
  <si>
    <t>Módulo expansor de zonas, para ampliación de la capacidad de entradas de la central de intrusión ofertada. Incluida fuente de alimentación y batería</t>
  </si>
  <si>
    <t>Río</t>
  </si>
  <si>
    <t>Módulo de relés</t>
  </si>
  <si>
    <t>2.- ACTUALIZACIÓN GRABADOR</t>
  </si>
  <si>
    <t>4.- ACTUALIZACIÓN GRABADOR</t>
  </si>
  <si>
    <t>3.- ACTUALIZACIÓN GRABADOR</t>
  </si>
  <si>
    <r>
      <t xml:space="preserve">Costes Directos </t>
    </r>
    <r>
      <rPr>
        <sz val="11"/>
        <color rgb="FFFFFFFF"/>
        <rFont val="Arial"/>
        <family val="2"/>
      </rPr>
      <t>(%PEM</t>
    </r>
    <r>
      <rPr>
        <b/>
        <sz val="11"/>
        <color indexed="9"/>
        <rFont val="Arial"/>
        <family val="2"/>
      </rPr>
      <t>)</t>
    </r>
  </si>
  <si>
    <r>
      <t xml:space="preserve">Costes Indirectos </t>
    </r>
    <r>
      <rPr>
        <sz val="11"/>
        <color rgb="FFFFFFFF"/>
        <rFont val="Arial"/>
        <family val="2"/>
      </rPr>
      <t>(%PEM</t>
    </r>
    <r>
      <rPr>
        <b/>
        <sz val="11"/>
        <color indexed="9"/>
        <rFont val="Arial"/>
        <family val="2"/>
      </rPr>
      <t>)</t>
    </r>
  </si>
  <si>
    <r>
      <t xml:space="preserve">Gastos Generales empresa </t>
    </r>
    <r>
      <rPr>
        <sz val="11"/>
        <color rgb="FFFFFFFF"/>
        <rFont val="Arial"/>
        <family val="2"/>
      </rPr>
      <t>(%PE)</t>
    </r>
  </si>
  <si>
    <r>
      <t xml:space="preserve">Beneficio Industrial </t>
    </r>
    <r>
      <rPr>
        <sz val="11"/>
        <color rgb="FFFFFFFF"/>
        <rFont val="Arial"/>
        <family val="2"/>
      </rPr>
      <t>(%PE)</t>
    </r>
  </si>
  <si>
    <t>TOTAL SIN IVA</t>
  </si>
  <si>
    <t>TOTAL OFERTA CON IVA</t>
  </si>
  <si>
    <r>
      <rPr>
        <b/>
        <sz val="14"/>
        <color theme="1"/>
        <rFont val="Calibri"/>
        <family val="2"/>
        <scheme val="minor"/>
      </rPr>
      <t xml:space="preserve">NOTA: </t>
    </r>
    <r>
      <rPr>
        <sz val="14"/>
        <color theme="1"/>
        <rFont val="Calibri"/>
        <family val="2"/>
        <scheme val="minor"/>
      </rPr>
      <t>Para la elaboración de este documento se tendrán en cuenta las notas del apartado 27 del cuadro resumen del Pliego de Condiciones Particulares.</t>
    </r>
  </si>
  <si>
    <t>PRESUPUESTO INSTALACION Y RENOVACIÓN SISTEMAS DE SEGURIDAD RECINTO DE LORANCA</t>
  </si>
  <si>
    <t xml:space="preserve">Licencia de unidad única para AXIS Perimeter Defender, una aplicación de análisis de video escalable y flexible para vigilancia y protección perimetral. Incluida instalación y configuración. </t>
  </si>
  <si>
    <t xml:space="preserve">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 Incluida instalación y configuración. </t>
  </si>
  <si>
    <t>Partida ayudas auxiliares en equipamiento y mano de obra en sistemas de energía</t>
  </si>
  <si>
    <t>Partida ayudas auxiliares en equipamiento y mano de obra en albañilería</t>
  </si>
  <si>
    <t>MOXA Iologik E1214</t>
  </si>
  <si>
    <t>Módulo de E/S digitales Ethernet. Seis puertos de entrada digital y 6 puertos de salida digital mediante Relé. Entradas digitales: 6 canales. Relés: 6 canales. Aislamiento: 3k VDC o 2k Vrms. Tipo de sensor: contacto húmedo (NPN o PNP), contacto seco. Modo I/O: DI o contador de eventos. Contacto seco: Encendido: corto a GND. Apagado: abierto. Contacto húmedo (DI a COM): Encendido: 10 a 30 VCC. Apagado: 0 a 3 VCC. Según características descritas en PPT.</t>
  </si>
  <si>
    <t>PARTIDA CONFIGURAIÓN MÓDULOS IO EN CRA</t>
  </si>
  <si>
    <t>CONF_CRA</t>
  </si>
  <si>
    <t>Partida de mano de obra para configuración módulos IO en abonado CRA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</si>
</sst>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
    <numFmt numFmtId="165" formatCode="#,##0.000"/>
    <numFmt numFmtId="166" formatCode="#,##0.00\ &quot;€&quot;"/>
  </numFmts>
  <fonts count="34" x14ac:knownFonts="1">
    <font>
      <sz val="11"/>
      <color theme="1"/>
      <name val="Calibri"/>
      <family val="2"/>
      <scheme val="minor"/>
    </font>
    <font>
      <b/>
      <sz val="10"/>
      <name val="Arial"/>
      <family val="2"/>
    </font>
    <font>
      <sz val="10"/>
      <name val="Arial"/>
      <family val="2"/>
    </font>
    <font>
      <b/>
      <sz val="10"/>
      <color indexed="9"/>
      <name val="Arial"/>
      <family val="2"/>
    </font>
    <font>
      <i/>
      <sz val="10"/>
      <name val="Arial"/>
      <family val="2"/>
    </font>
    <font>
      <sz val="11"/>
      <color theme="1"/>
      <name val="Calibri"/>
      <family val="2"/>
      <scheme val="minor"/>
    </font>
    <font>
      <b/>
      <sz val="12"/>
      <color theme="1"/>
      <name val="Calibri"/>
      <family val="2"/>
      <scheme val="minor"/>
    </font>
    <font>
      <b/>
      <sz val="11"/>
      <color theme="0"/>
      <name val="Arial"/>
      <family val="2"/>
    </font>
    <font>
      <b/>
      <u/>
      <sz val="16"/>
      <color theme="1"/>
      <name val="Calibri"/>
      <family val="2"/>
      <scheme val="minor"/>
    </font>
    <font>
      <b/>
      <sz val="16"/>
      <color theme="1"/>
      <name val="Calibri"/>
      <family val="2"/>
      <scheme val="minor"/>
    </font>
    <font>
      <b/>
      <sz val="18"/>
      <color indexed="9"/>
      <name val="Arial"/>
      <family val="2"/>
    </font>
    <font>
      <sz val="14"/>
      <color theme="1"/>
      <name val="Arial"/>
      <family val="2"/>
    </font>
    <font>
      <b/>
      <sz val="47"/>
      <color rgb="FF0038A8"/>
      <name val="Arial"/>
      <family val="2"/>
    </font>
    <font>
      <b/>
      <sz val="22"/>
      <color indexed="9"/>
      <name val="Arial"/>
      <family val="2"/>
    </font>
    <font>
      <b/>
      <sz val="11"/>
      <name val="Arial"/>
      <family val="2"/>
    </font>
    <font>
      <b/>
      <sz val="11"/>
      <color indexed="9"/>
      <name val="Arial"/>
      <family val="2"/>
    </font>
    <font>
      <b/>
      <sz val="12"/>
      <color indexed="9"/>
      <name val="Arial"/>
      <family val="2"/>
    </font>
    <font>
      <b/>
      <sz val="14"/>
      <color rgb="FF000000"/>
      <name val="Calibri"/>
      <family val="2"/>
    </font>
    <font>
      <sz val="11"/>
      <color theme="1"/>
      <name val="Calibri"/>
      <family val="2"/>
    </font>
    <font>
      <b/>
      <sz val="11"/>
      <color rgb="FF000000"/>
      <name val="Calibri"/>
      <family val="2"/>
    </font>
    <font>
      <sz val="11"/>
      <color rgb="FF9C0006"/>
      <name val="Calibri"/>
      <family val="2"/>
      <scheme val="minor"/>
    </font>
    <font>
      <b/>
      <sz val="11"/>
      <color theme="1"/>
      <name val="Calibri"/>
      <family val="2"/>
      <scheme val="minor"/>
    </font>
    <font>
      <b/>
      <sz val="11"/>
      <color theme="1"/>
      <name val="Calibri"/>
      <family val="2"/>
    </font>
    <font>
      <u/>
      <sz val="11"/>
      <color theme="10"/>
      <name val="Calibri"/>
      <family val="2"/>
      <scheme val="minor"/>
    </font>
    <font>
      <b/>
      <i/>
      <u/>
      <sz val="10"/>
      <color rgb="FF0038A8"/>
      <name val="Arial"/>
      <family val="2"/>
    </font>
    <font>
      <b/>
      <u/>
      <sz val="11"/>
      <color theme="0"/>
      <name val="Calibri"/>
      <family val="2"/>
      <scheme val="minor"/>
    </font>
    <font>
      <sz val="11"/>
      <color rgb="FFFFFFFF"/>
      <name val="Arial"/>
      <family val="2"/>
    </font>
    <font>
      <b/>
      <sz val="11"/>
      <color rgb="FFFF0000"/>
      <name val="Calibri"/>
      <family val="2"/>
      <scheme val="minor"/>
    </font>
    <font>
      <b/>
      <sz val="11"/>
      <name val="Calibri"/>
      <family val="2"/>
      <scheme val="minor"/>
    </font>
    <font>
      <sz val="11"/>
      <color rgb="FFFF0000"/>
      <name val="Calibri"/>
      <family val="2"/>
      <scheme val="minor"/>
    </font>
    <font>
      <sz val="11"/>
      <name val="Arial"/>
      <family val="2"/>
    </font>
    <font>
      <sz val="14"/>
      <color theme="1"/>
      <name val="Calibri"/>
      <family val="2"/>
      <scheme val="minor"/>
    </font>
    <font>
      <sz val="13"/>
      <color theme="1"/>
      <name val="Calibri"/>
      <family val="2"/>
      <scheme val="minor"/>
    </font>
    <font>
      <b/>
      <sz val="14"/>
      <color theme="1"/>
      <name val="Calibri"/>
      <family val="2"/>
      <scheme val="minor"/>
    </font>
  </fonts>
  <fills count="10">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rgb="FF276F95"/>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C7CE"/>
      </patternFill>
    </fill>
    <fill>
      <patternFill patternType="solid">
        <fgColor theme="0" tint="-0.14999847407452621"/>
        <bgColor indexed="64"/>
      </patternFill>
    </fill>
    <fill>
      <patternFill patternType="solid">
        <fgColor theme="2" tint="-0.249977111117893"/>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style="dotted">
        <color indexed="64"/>
      </right>
      <top/>
      <bottom style="dotted">
        <color indexed="64"/>
      </bottom>
      <diagonal/>
    </border>
    <border>
      <left style="dotted">
        <color indexed="64"/>
      </left>
      <right style="dotted">
        <color indexed="64"/>
      </right>
      <top/>
      <bottom style="dotted">
        <color indexed="64"/>
      </bottom>
      <diagonal/>
    </border>
    <border>
      <left/>
      <right/>
      <top style="thin">
        <color indexed="64"/>
      </top>
      <bottom/>
      <diagonal/>
    </border>
    <border>
      <left style="thin">
        <color indexed="9"/>
      </left>
      <right/>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medium">
        <color indexed="64"/>
      </bottom>
      <diagonal/>
    </border>
    <border>
      <left/>
      <right/>
      <top/>
      <bottom style="thin">
        <color indexed="64"/>
      </bottom>
      <diagonal/>
    </border>
    <border>
      <left/>
      <right/>
      <top style="medium">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dotted">
        <color indexed="64"/>
      </left>
      <right style="dotted">
        <color indexed="64"/>
      </right>
      <top style="dotted">
        <color indexed="64"/>
      </top>
      <bottom style="thin">
        <color indexed="64"/>
      </bottom>
      <diagonal/>
    </border>
  </borders>
  <cellStyleXfs count="4">
    <xf numFmtId="0" fontId="0" fillId="0" borderId="0"/>
    <xf numFmtId="44" fontId="5" fillId="0" borderId="0" applyFont="0" applyFill="0" applyBorder="0" applyAlignment="0" applyProtection="0"/>
    <xf numFmtId="0" fontId="20" fillId="7" borderId="0" applyNumberFormat="0" applyBorder="0" applyAlignment="0" applyProtection="0"/>
    <xf numFmtId="0" fontId="23" fillId="0" borderId="0" applyNumberFormat="0" applyFill="0" applyBorder="0" applyAlignment="0" applyProtection="0"/>
  </cellStyleXfs>
  <cellXfs count="214">
    <xf numFmtId="0" fontId="0" fillId="0" borderId="0" xfId="0"/>
    <xf numFmtId="0" fontId="0" fillId="0" borderId="0" xfId="0" applyProtection="1"/>
    <xf numFmtId="166" fontId="0" fillId="0" borderId="9" xfId="1" applyNumberFormat="1" applyFont="1" applyBorder="1" applyProtection="1"/>
    <xf numFmtId="166" fontId="0" fillId="0" borderId="9" xfId="1" applyNumberFormat="1" applyFont="1" applyBorder="1" applyAlignment="1" applyProtection="1"/>
    <xf numFmtId="164" fontId="4" fillId="2" borderId="0" xfId="0" applyNumberFormat="1" applyFont="1" applyFill="1" applyAlignment="1" applyProtection="1">
      <alignment horizontal="right" vertical="top" wrapText="1"/>
    </xf>
    <xf numFmtId="165" fontId="4" fillId="2" borderId="0" xfId="0" applyNumberFormat="1" applyFont="1" applyFill="1" applyAlignment="1" applyProtection="1">
      <alignment horizontal="right" vertical="top" wrapText="1"/>
    </xf>
    <xf numFmtId="3" fontId="2" fillId="2" borderId="5" xfId="0" applyNumberFormat="1" applyFont="1" applyFill="1" applyBorder="1" applyAlignment="1" applyProtection="1">
      <alignment horizontal="left" vertical="top" wrapText="1"/>
    </xf>
    <xf numFmtId="166" fontId="2" fillId="2" borderId="6" xfId="0" applyNumberFormat="1" applyFont="1" applyFill="1" applyBorder="1" applyAlignment="1" applyProtection="1">
      <alignment horizontal="right" wrapText="1"/>
    </xf>
    <xf numFmtId="3" fontId="1" fillId="2" borderId="7" xfId="0" applyNumberFormat="1" applyFont="1" applyFill="1" applyBorder="1" applyAlignment="1" applyProtection="1">
      <alignment horizontal="center" vertical="top" wrapText="1"/>
    </xf>
    <xf numFmtId="0" fontId="1" fillId="2" borderId="7" xfId="0" applyFont="1" applyFill="1" applyBorder="1" applyAlignment="1" applyProtection="1">
      <alignment horizontal="center" vertical="top" wrapText="1"/>
    </xf>
    <xf numFmtId="3" fontId="1" fillId="2" borderId="0" xfId="0" applyNumberFormat="1" applyFont="1" applyFill="1" applyBorder="1" applyAlignment="1" applyProtection="1">
      <alignment horizontal="center" vertical="top" wrapText="1"/>
    </xf>
    <xf numFmtId="0" fontId="1" fillId="2" borderId="0" xfId="0" applyFont="1" applyFill="1" applyBorder="1" applyAlignment="1" applyProtection="1">
      <alignment horizontal="center" vertical="top" wrapText="1"/>
    </xf>
    <xf numFmtId="0" fontId="1" fillId="3" borderId="9" xfId="0" applyFont="1" applyFill="1" applyBorder="1" applyAlignment="1" applyProtection="1">
      <alignment horizontal="center" vertical="top" wrapText="1"/>
    </xf>
    <xf numFmtId="164" fontId="1" fillId="3" borderId="9" xfId="0" applyNumberFormat="1" applyFont="1" applyFill="1" applyBorder="1" applyAlignment="1" applyProtection="1">
      <alignment horizontal="center" vertical="top" wrapText="1"/>
    </xf>
    <xf numFmtId="165" fontId="1" fillId="3" borderId="9" xfId="0" applyNumberFormat="1" applyFont="1" applyFill="1" applyBorder="1" applyAlignment="1" applyProtection="1">
      <alignment horizontal="center" vertical="top" wrapText="1"/>
    </xf>
    <xf numFmtId="0" fontId="2" fillId="6" borderId="6" xfId="0" applyFont="1" applyFill="1" applyBorder="1" applyAlignment="1" applyProtection="1">
      <alignment vertical="top" wrapText="1"/>
      <protection locked="0"/>
    </xf>
    <xf numFmtId="3" fontId="2" fillId="6" borderId="4" xfId="0" applyNumberFormat="1" applyFont="1" applyFill="1" applyBorder="1" applyAlignment="1" applyProtection="1">
      <alignment horizontal="center" vertical="center" wrapText="1"/>
      <protection locked="0"/>
    </xf>
    <xf numFmtId="3" fontId="3" fillId="4" borderId="9" xfId="0" applyNumberFormat="1" applyFont="1" applyFill="1" applyBorder="1" applyAlignment="1" applyProtection="1">
      <alignment vertical="top" wrapText="1"/>
    </xf>
    <xf numFmtId="3" fontId="7" fillId="4" borderId="9" xfId="0" applyNumberFormat="1" applyFont="1" applyFill="1" applyBorder="1" applyAlignment="1" applyProtection="1">
      <alignment vertical="top" wrapText="1"/>
    </xf>
    <xf numFmtId="3" fontId="1" fillId="3" borderId="9" xfId="0" applyNumberFormat="1" applyFont="1" applyFill="1" applyBorder="1" applyAlignment="1" applyProtection="1">
      <alignment horizontal="left" vertical="center"/>
    </xf>
    <xf numFmtId="166" fontId="1" fillId="3" borderId="9" xfId="0" applyNumberFormat="1" applyFont="1" applyFill="1" applyBorder="1" applyAlignment="1" applyProtection="1">
      <alignment horizontal="right" vertical="center" wrapText="1"/>
    </xf>
    <xf numFmtId="166" fontId="6" fillId="0" borderId="9" xfId="0" applyNumberFormat="1" applyFont="1" applyBorder="1" applyProtection="1"/>
    <xf numFmtId="166" fontId="3" fillId="4" borderId="9" xfId="0" applyNumberFormat="1" applyFont="1" applyFill="1" applyBorder="1" applyAlignment="1" applyProtection="1">
      <alignment horizontal="center" vertical="center" wrapText="1"/>
    </xf>
    <xf numFmtId="0" fontId="12" fillId="0" borderId="0" xfId="0" applyFont="1" applyAlignment="1" applyProtection="1">
      <alignment vertical="center" wrapText="1"/>
    </xf>
    <xf numFmtId="166" fontId="2" fillId="2" borderId="10" xfId="0" applyNumberFormat="1" applyFont="1" applyFill="1" applyBorder="1" applyAlignment="1" applyProtection="1">
      <alignment horizontal="right" wrapText="1"/>
    </xf>
    <xf numFmtId="166" fontId="3" fillId="4" borderId="3" xfId="0" applyNumberFormat="1" applyFont="1" applyFill="1" applyBorder="1" applyAlignment="1" applyProtection="1">
      <alignment vertical="center" wrapText="1"/>
    </xf>
    <xf numFmtId="3" fontId="15" fillId="4" borderId="15" xfId="0" applyNumberFormat="1" applyFont="1" applyFill="1" applyBorder="1" applyAlignment="1" applyProtection="1">
      <alignment horizontal="center" vertical="center" wrapText="1"/>
    </xf>
    <xf numFmtId="0" fontId="18" fillId="0" borderId="22" xfId="0" applyFont="1" applyFill="1" applyBorder="1"/>
    <xf numFmtId="0" fontId="18" fillId="0" borderId="23" xfId="0" applyFont="1" applyFill="1" applyBorder="1"/>
    <xf numFmtId="0" fontId="18" fillId="0" borderId="0" xfId="0" applyFont="1" applyFill="1" applyBorder="1"/>
    <xf numFmtId="0" fontId="18" fillId="0" borderId="36" xfId="0" applyFont="1" applyFill="1" applyBorder="1"/>
    <xf numFmtId="0" fontId="18" fillId="0" borderId="37" xfId="0" applyFont="1" applyFill="1" applyBorder="1"/>
    <xf numFmtId="0" fontId="19" fillId="0" borderId="11" xfId="0" applyFont="1" applyFill="1" applyBorder="1"/>
    <xf numFmtId="0" fontId="18" fillId="0" borderId="29" xfId="0" applyFont="1" applyFill="1" applyBorder="1"/>
    <xf numFmtId="0" fontId="18" fillId="0" borderId="21" xfId="0" applyFont="1" applyFill="1" applyBorder="1"/>
    <xf numFmtId="166" fontId="2" fillId="2" borderId="10" xfId="0" applyNumberFormat="1" applyFont="1" applyFill="1" applyBorder="1" applyAlignment="1" applyProtection="1">
      <alignment horizontal="left" wrapText="1"/>
    </xf>
    <xf numFmtId="3" fontId="15" fillId="4" borderId="26" xfId="0" applyNumberFormat="1" applyFont="1" applyFill="1" applyBorder="1" applyAlignment="1" applyProtection="1">
      <alignment horizontal="right" vertical="top" wrapText="1"/>
    </xf>
    <xf numFmtId="3" fontId="15" fillId="4" borderId="12" xfId="0" applyNumberFormat="1" applyFont="1" applyFill="1" applyBorder="1" applyAlignment="1" applyProtection="1">
      <alignment horizontal="right" vertical="top" wrapText="1"/>
    </xf>
    <xf numFmtId="3" fontId="15" fillId="4" borderId="31" xfId="0" applyNumberFormat="1" applyFont="1" applyFill="1" applyBorder="1" applyAlignment="1" applyProtection="1">
      <alignment vertical="top" wrapText="1"/>
    </xf>
    <xf numFmtId="44" fontId="14" fillId="0" borderId="28" xfId="1" applyFont="1" applyFill="1" applyBorder="1" applyAlignment="1" applyProtection="1">
      <alignment horizontal="right" vertical="top" wrapText="1"/>
    </xf>
    <xf numFmtId="44" fontId="14" fillId="0" borderId="30" xfId="1" applyFont="1" applyFill="1" applyBorder="1" applyAlignment="1" applyProtection="1">
      <alignment horizontal="right" vertical="top" wrapText="1"/>
    </xf>
    <xf numFmtId="44" fontId="14" fillId="0" borderId="23" xfId="1" applyFont="1" applyFill="1" applyBorder="1" applyAlignment="1" applyProtection="1">
      <alignment horizontal="right" vertical="top" wrapText="1"/>
    </xf>
    <xf numFmtId="44" fontId="16" fillId="4" borderId="28" xfId="1" applyFont="1" applyFill="1" applyBorder="1" applyAlignment="1" applyProtection="1">
      <alignment horizontal="right" vertical="top" wrapText="1"/>
    </xf>
    <xf numFmtId="0" fontId="2" fillId="2" borderId="10" xfId="0" applyNumberFormat="1" applyFont="1" applyFill="1" applyBorder="1" applyAlignment="1" applyProtection="1">
      <alignment horizontal="right" wrapText="1"/>
    </xf>
    <xf numFmtId="0" fontId="1" fillId="2" borderId="7" xfId="0" applyNumberFormat="1" applyFont="1" applyFill="1" applyBorder="1" applyAlignment="1" applyProtection="1">
      <alignment horizontal="center" vertical="top" wrapText="1"/>
    </xf>
    <xf numFmtId="3" fontId="24" fillId="6" borderId="11" xfId="0" applyNumberFormat="1" applyFont="1" applyFill="1" applyBorder="1" applyAlignment="1" applyProtection="1">
      <alignment horizontal="center" vertical="center" wrapText="1"/>
      <protection locked="0"/>
    </xf>
    <xf numFmtId="3" fontId="25" fillId="4" borderId="26" xfId="3" applyNumberFormat="1" applyFont="1" applyFill="1" applyBorder="1" applyAlignment="1" applyProtection="1">
      <alignment vertical="top" wrapText="1"/>
    </xf>
    <xf numFmtId="3" fontId="25" fillId="4" borderId="12" xfId="3" applyNumberFormat="1" applyFont="1" applyFill="1" applyBorder="1" applyAlignment="1" applyProtection="1">
      <alignment vertical="top" wrapText="1"/>
    </xf>
    <xf numFmtId="3" fontId="25" fillId="4" borderId="39" xfId="3" applyNumberFormat="1" applyFont="1" applyFill="1" applyBorder="1" applyAlignment="1" applyProtection="1">
      <alignment vertical="top" wrapText="1"/>
    </xf>
    <xf numFmtId="166" fontId="0" fillId="0" borderId="0" xfId="0" applyNumberFormat="1" applyProtection="1"/>
    <xf numFmtId="3" fontId="15" fillId="4" borderId="46" xfId="0" applyNumberFormat="1" applyFont="1" applyFill="1" applyBorder="1" applyAlignment="1" applyProtection="1">
      <alignment horizontal="right" vertical="top" wrapText="1"/>
    </xf>
    <xf numFmtId="44" fontId="14" fillId="0" borderId="47" xfId="1" applyFont="1" applyFill="1" applyBorder="1" applyAlignment="1" applyProtection="1">
      <alignment horizontal="right" vertical="top" wrapText="1"/>
    </xf>
    <xf numFmtId="44" fontId="14" fillId="0" borderId="13" xfId="1" applyFont="1" applyFill="1" applyBorder="1" applyAlignment="1" applyProtection="1">
      <alignment horizontal="right" vertical="top" wrapText="1"/>
    </xf>
    <xf numFmtId="3" fontId="15" fillId="4" borderId="48" xfId="0" applyNumberFormat="1" applyFont="1" applyFill="1" applyBorder="1" applyAlignment="1" applyProtection="1">
      <alignment horizontal="right" vertical="top" wrapText="1"/>
    </xf>
    <xf numFmtId="44" fontId="14" fillId="0" borderId="25" xfId="1" applyFont="1" applyFill="1" applyBorder="1" applyAlignment="1" applyProtection="1">
      <alignment horizontal="right" vertical="top" wrapText="1"/>
    </xf>
    <xf numFmtId="0" fontId="2" fillId="2" borderId="49" xfId="0" applyNumberFormat="1" applyFont="1" applyFill="1" applyBorder="1" applyAlignment="1" applyProtection="1">
      <alignment horizontal="right" wrapText="1"/>
    </xf>
    <xf numFmtId="0" fontId="2" fillId="2" borderId="50" xfId="0" applyNumberFormat="1" applyFont="1" applyFill="1" applyBorder="1" applyAlignment="1" applyProtection="1">
      <alignment horizontal="right" wrapText="1"/>
    </xf>
    <xf numFmtId="166" fontId="1" fillId="2" borderId="0" xfId="0" applyNumberFormat="1" applyFont="1" applyFill="1" applyBorder="1" applyAlignment="1" applyProtection="1">
      <alignment wrapText="1"/>
    </xf>
    <xf numFmtId="166" fontId="2" fillId="2" borderId="51" xfId="0" applyNumberFormat="1" applyFont="1" applyFill="1" applyBorder="1" applyAlignment="1" applyProtection="1">
      <alignment horizontal="left" wrapText="1"/>
    </xf>
    <xf numFmtId="166" fontId="2" fillId="2" borderId="52" xfId="0" applyNumberFormat="1" applyFont="1" applyFill="1" applyBorder="1" applyAlignment="1" applyProtection="1">
      <alignment horizontal="left" wrapText="1"/>
    </xf>
    <xf numFmtId="166" fontId="2" fillId="2" borderId="10" xfId="0" applyNumberFormat="1" applyFont="1" applyFill="1" applyBorder="1" applyAlignment="1" applyProtection="1">
      <alignment horizontal="right" vertical="center" wrapText="1"/>
    </xf>
    <xf numFmtId="166" fontId="0" fillId="0" borderId="0" xfId="1" applyNumberFormat="1" applyFont="1" applyBorder="1" applyProtection="1"/>
    <xf numFmtId="166" fontId="0" fillId="0" borderId="0" xfId="1" applyNumberFormat="1" applyFont="1" applyBorder="1" applyAlignment="1" applyProtection="1"/>
    <xf numFmtId="166" fontId="6" fillId="0" borderId="0" xfId="0" applyNumberFormat="1" applyFont="1" applyBorder="1" applyProtection="1"/>
    <xf numFmtId="0" fontId="0" fillId="0" borderId="0" xfId="0" applyAlignment="1" applyProtection="1">
      <alignment horizontal="left" wrapText="1"/>
    </xf>
    <xf numFmtId="166" fontId="0" fillId="0" borderId="0" xfId="1" applyNumberFormat="1" applyFont="1" applyBorder="1" applyAlignment="1" applyProtection="1">
      <alignment horizontal="left" wrapText="1"/>
    </xf>
    <xf numFmtId="166" fontId="6" fillId="0" borderId="0" xfId="0" applyNumberFormat="1" applyFont="1" applyBorder="1" applyAlignment="1" applyProtection="1">
      <alignment horizontal="left" wrapText="1"/>
    </xf>
    <xf numFmtId="0" fontId="1" fillId="2" borderId="0" xfId="0" applyFont="1" applyFill="1" applyBorder="1" applyAlignment="1" applyProtection="1">
      <alignment horizontal="left" vertical="top" wrapText="1"/>
    </xf>
    <xf numFmtId="164" fontId="4" fillId="2" borderId="0" xfId="0" applyNumberFormat="1" applyFont="1" applyFill="1" applyAlignment="1" applyProtection="1">
      <alignment horizontal="left" vertical="top" wrapText="1"/>
    </xf>
    <xf numFmtId="0" fontId="1" fillId="2" borderId="7" xfId="0" applyFont="1" applyFill="1" applyBorder="1" applyAlignment="1" applyProtection="1">
      <alignment horizontal="left" vertical="top" wrapText="1"/>
    </xf>
    <xf numFmtId="0" fontId="1" fillId="3" borderId="9" xfId="0" applyFont="1" applyFill="1" applyBorder="1" applyAlignment="1" applyProtection="1">
      <alignment horizontal="center" vertical="center" wrapText="1"/>
    </xf>
    <xf numFmtId="0" fontId="2" fillId="2" borderId="10" xfId="0" applyNumberFormat="1" applyFont="1" applyFill="1" applyBorder="1" applyAlignment="1" applyProtection="1">
      <alignment horizontal="right" vertical="top" wrapText="1"/>
    </xf>
    <xf numFmtId="166" fontId="2" fillId="2" borderId="10" xfId="0" applyNumberFormat="1" applyFont="1" applyFill="1" applyBorder="1" applyAlignment="1" applyProtection="1">
      <alignment horizontal="right" vertical="top" wrapText="1"/>
    </xf>
    <xf numFmtId="166" fontId="2" fillId="2" borderId="10" xfId="0" applyNumberFormat="1" applyFont="1" applyFill="1" applyBorder="1" applyAlignment="1" applyProtection="1">
      <alignment horizontal="left" vertical="top" wrapText="1"/>
    </xf>
    <xf numFmtId="165" fontId="8" fillId="0" borderId="0" xfId="0" applyNumberFormat="1" applyFont="1" applyFill="1" applyBorder="1" applyAlignment="1" applyProtection="1">
      <alignment horizontal="left" vertical="top" wrapText="1"/>
    </xf>
    <xf numFmtId="0" fontId="0" fillId="0" borderId="0" xfId="0" applyFill="1" applyAlignment="1" applyProtection="1">
      <alignment horizontal="left" wrapText="1"/>
    </xf>
    <xf numFmtId="165" fontId="1" fillId="0" borderId="0" xfId="0" applyNumberFormat="1" applyFont="1" applyFill="1" applyBorder="1" applyAlignment="1" applyProtection="1">
      <alignment horizontal="left" vertical="top" wrapText="1"/>
    </xf>
    <xf numFmtId="3" fontId="1" fillId="3" borderId="9" xfId="0" applyNumberFormat="1" applyFont="1" applyFill="1" applyBorder="1" applyAlignment="1" applyProtection="1">
      <alignment horizontal="right"/>
    </xf>
    <xf numFmtId="166" fontId="1" fillId="3" borderId="9" xfId="0" applyNumberFormat="1" applyFont="1" applyFill="1" applyBorder="1" applyAlignment="1" applyProtection="1">
      <alignment horizontal="right" wrapText="1"/>
    </xf>
    <xf numFmtId="0" fontId="0" fillId="0" borderId="0" xfId="0" applyAlignment="1">
      <alignment vertical="top"/>
    </xf>
    <xf numFmtId="166" fontId="2" fillId="2" borderId="10" xfId="0" applyNumberFormat="1" applyFont="1" applyFill="1" applyBorder="1" applyAlignment="1" applyProtection="1">
      <alignment horizontal="left" vertical="top"/>
    </xf>
    <xf numFmtId="165" fontId="8" fillId="0" borderId="0" xfId="0" applyNumberFormat="1" applyFont="1" applyFill="1" applyBorder="1" applyAlignment="1" applyProtection="1">
      <alignment horizontal="center" vertical="top" wrapText="1"/>
    </xf>
    <xf numFmtId="0" fontId="0" fillId="0" borderId="0" xfId="0" applyFill="1" applyProtection="1"/>
    <xf numFmtId="165" fontId="1" fillId="0" borderId="0" xfId="0" applyNumberFormat="1" applyFont="1" applyFill="1" applyBorder="1" applyAlignment="1" applyProtection="1">
      <alignment horizontal="center" vertical="top" wrapText="1"/>
    </xf>
    <xf numFmtId="166" fontId="0" fillId="0" borderId="0" xfId="1" applyNumberFormat="1" applyFont="1" applyFill="1" applyBorder="1" applyProtection="1"/>
    <xf numFmtId="3" fontId="3" fillId="4" borderId="42" xfId="0" applyNumberFormat="1" applyFont="1" applyFill="1" applyBorder="1" applyAlignment="1" applyProtection="1">
      <alignment vertical="top" wrapText="1"/>
    </xf>
    <xf numFmtId="3" fontId="3" fillId="4" borderId="53" xfId="0" applyNumberFormat="1" applyFont="1" applyFill="1" applyBorder="1" applyAlignment="1" applyProtection="1">
      <alignment vertical="top" wrapText="1"/>
    </xf>
    <xf numFmtId="3" fontId="3" fillId="0" borderId="0" xfId="0" applyNumberFormat="1" applyFont="1" applyFill="1" applyBorder="1" applyAlignment="1" applyProtection="1">
      <alignment horizontal="left" vertical="top" wrapText="1"/>
    </xf>
    <xf numFmtId="3" fontId="3" fillId="0" borderId="53" xfId="0" applyNumberFormat="1" applyFont="1" applyFill="1" applyBorder="1" applyAlignment="1" applyProtection="1">
      <alignment vertical="top" wrapText="1"/>
    </xf>
    <xf numFmtId="166" fontId="0" fillId="0" borderId="0" xfId="1" applyNumberFormat="1" applyFont="1" applyFill="1" applyBorder="1" applyAlignment="1" applyProtection="1"/>
    <xf numFmtId="166" fontId="6" fillId="0" borderId="0" xfId="0" applyNumberFormat="1" applyFont="1" applyFill="1" applyBorder="1" applyProtection="1"/>
    <xf numFmtId="166" fontId="2" fillId="2" borderId="10" xfId="0" applyNumberFormat="1" applyFont="1" applyFill="1" applyBorder="1" applyAlignment="1">
      <alignment horizontal="right" wrapText="1"/>
    </xf>
    <xf numFmtId="166" fontId="2" fillId="2" borderId="49" xfId="0" applyNumberFormat="1" applyFont="1" applyFill="1" applyBorder="1" applyAlignment="1" applyProtection="1">
      <alignment horizontal="left" wrapText="1"/>
    </xf>
    <xf numFmtId="166" fontId="2" fillId="2" borderId="50" xfId="0" applyNumberFormat="1" applyFont="1" applyFill="1" applyBorder="1" applyAlignment="1" applyProtection="1">
      <alignment horizontal="left" wrapText="1"/>
    </xf>
    <xf numFmtId="44" fontId="16" fillId="4" borderId="11" xfId="1" applyFont="1" applyFill="1" applyBorder="1" applyAlignment="1" applyProtection="1">
      <alignment horizontal="right" vertical="top" wrapText="1"/>
    </xf>
    <xf numFmtId="3" fontId="15" fillId="4" borderId="58" xfId="0" applyNumberFormat="1" applyFont="1" applyFill="1" applyBorder="1" applyAlignment="1" applyProtection="1">
      <alignment horizontal="right" vertical="top" wrapText="1"/>
    </xf>
    <xf numFmtId="3" fontId="15" fillId="4" borderId="39" xfId="0" applyNumberFormat="1" applyFont="1" applyFill="1" applyBorder="1" applyAlignment="1" applyProtection="1">
      <alignment horizontal="right" vertical="top" wrapText="1"/>
    </xf>
    <xf numFmtId="44" fontId="14" fillId="0" borderId="37" xfId="1" applyFont="1" applyFill="1" applyBorder="1" applyAlignment="1" applyProtection="1">
      <alignment horizontal="right" vertical="top" wrapText="1"/>
    </xf>
    <xf numFmtId="3" fontId="15" fillId="4" borderId="23" xfId="0" applyNumberFormat="1" applyFont="1" applyFill="1" applyBorder="1" applyAlignment="1" applyProtection="1">
      <alignment horizontal="right" vertical="top" wrapText="1"/>
    </xf>
    <xf numFmtId="3" fontId="15" fillId="4" borderId="60" xfId="0" applyNumberFormat="1" applyFont="1" applyFill="1" applyBorder="1" applyAlignment="1" applyProtection="1">
      <alignment horizontal="right" vertical="top" wrapText="1"/>
    </xf>
    <xf numFmtId="3" fontId="15" fillId="4" borderId="25" xfId="0" applyNumberFormat="1" applyFont="1" applyFill="1" applyBorder="1" applyAlignment="1" applyProtection="1">
      <alignment horizontal="right" vertical="top" wrapText="1"/>
    </xf>
    <xf numFmtId="0" fontId="2" fillId="6" borderId="61" xfId="0" applyFont="1" applyFill="1" applyBorder="1" applyAlignment="1" applyProtection="1">
      <alignment vertical="top" wrapText="1"/>
      <protection locked="0"/>
    </xf>
    <xf numFmtId="3" fontId="15" fillId="4" borderId="23" xfId="0" applyNumberFormat="1" applyFont="1" applyFill="1" applyBorder="1" applyAlignment="1" applyProtection="1">
      <alignment horizontal="center" vertical="top" wrapText="1"/>
    </xf>
    <xf numFmtId="3" fontId="30" fillId="8" borderId="59" xfId="0" applyNumberFormat="1" applyFont="1" applyFill="1" applyBorder="1" applyAlignment="1" applyProtection="1">
      <alignment horizontal="center" vertical="center" wrapText="1"/>
      <protection locked="0"/>
    </xf>
    <xf numFmtId="0" fontId="0" fillId="0" borderId="0" xfId="0" applyProtection="1">
      <protection locked="0"/>
    </xf>
    <xf numFmtId="3" fontId="30" fillId="8" borderId="18" xfId="0" applyNumberFormat="1" applyFont="1" applyFill="1" applyBorder="1" applyAlignment="1" applyProtection="1">
      <alignment horizontal="center" vertical="center" wrapText="1"/>
      <protection locked="0"/>
    </xf>
    <xf numFmtId="3" fontId="30" fillId="8" borderId="13" xfId="0" applyNumberFormat="1" applyFont="1" applyFill="1" applyBorder="1" applyAlignment="1" applyProtection="1">
      <alignment horizontal="center" vertical="center" wrapText="1"/>
      <protection locked="0"/>
    </xf>
    <xf numFmtId="165" fontId="14" fillId="3" borderId="14" xfId="0" applyNumberFormat="1" applyFont="1" applyFill="1" applyBorder="1" applyAlignment="1" applyProtection="1">
      <alignment horizontal="center" vertical="center" wrapText="1"/>
    </xf>
    <xf numFmtId="44" fontId="0" fillId="0" borderId="30" xfId="1" applyFont="1" applyBorder="1" applyAlignment="1" applyProtection="1">
      <alignment horizontal="right"/>
    </xf>
    <xf numFmtId="44" fontId="0" fillId="0" borderId="23" xfId="1" applyFont="1" applyBorder="1" applyAlignment="1" applyProtection="1">
      <alignment horizontal="right"/>
    </xf>
    <xf numFmtId="44" fontId="0" fillId="0" borderId="38" xfId="1" applyFont="1" applyBorder="1" applyAlignment="1" applyProtection="1">
      <alignment horizontal="right"/>
    </xf>
    <xf numFmtId="44" fontId="0" fillId="0" borderId="0" xfId="0" applyNumberFormat="1" applyBorder="1" applyProtection="1"/>
    <xf numFmtId="0" fontId="32" fillId="0" borderId="0" xfId="0" applyFont="1" applyAlignment="1" applyProtection="1"/>
    <xf numFmtId="0" fontId="21" fillId="8" borderId="35" xfId="0" applyFont="1" applyFill="1" applyBorder="1" applyAlignment="1" applyProtection="1">
      <alignment horizontal="center" vertical="center"/>
      <protection locked="0"/>
    </xf>
    <xf numFmtId="0" fontId="21" fillId="8" borderId="18" xfId="0" applyFont="1" applyFill="1" applyBorder="1" applyAlignment="1" applyProtection="1">
      <alignment horizontal="center" vertical="center"/>
      <protection locked="0"/>
    </xf>
    <xf numFmtId="0" fontId="21" fillId="8" borderId="32" xfId="0" applyFont="1" applyFill="1" applyBorder="1" applyAlignment="1" applyProtection="1">
      <alignment horizontal="center" vertical="center"/>
      <protection locked="0"/>
    </xf>
    <xf numFmtId="0" fontId="21" fillId="8" borderId="35" xfId="0" applyFont="1" applyFill="1" applyBorder="1" applyAlignment="1" applyProtection="1">
      <alignment horizontal="left" vertical="center"/>
      <protection locked="0"/>
    </xf>
    <xf numFmtId="0" fontId="21" fillId="8" borderId="18" xfId="0" applyFont="1" applyFill="1" applyBorder="1" applyAlignment="1" applyProtection="1">
      <alignment horizontal="left" vertical="center"/>
      <protection locked="0"/>
    </xf>
    <xf numFmtId="0" fontId="0" fillId="8" borderId="18" xfId="0" applyFont="1" applyFill="1" applyBorder="1" applyAlignment="1" applyProtection="1">
      <alignment horizontal="left" vertical="center" wrapText="1"/>
      <protection locked="0"/>
    </xf>
    <xf numFmtId="166" fontId="0" fillId="0" borderId="15" xfId="0" applyNumberFormat="1" applyBorder="1" applyAlignment="1" applyProtection="1">
      <alignment horizontal="center" vertical="center"/>
      <protection locked="0"/>
    </xf>
    <xf numFmtId="0" fontId="21" fillId="8" borderId="22" xfId="0" applyFont="1" applyFill="1" applyBorder="1" applyAlignment="1" applyProtection="1">
      <alignment horizontal="left" vertical="center"/>
      <protection locked="0"/>
    </xf>
    <xf numFmtId="0" fontId="21" fillId="8" borderId="23" xfId="0" applyFont="1" applyFill="1" applyBorder="1" applyAlignment="1" applyProtection="1">
      <alignment horizontal="left" vertical="center"/>
      <protection locked="0"/>
    </xf>
    <xf numFmtId="0" fontId="0" fillId="8" borderId="23" xfId="0" applyFont="1" applyFill="1" applyBorder="1" applyAlignment="1" applyProtection="1">
      <alignment horizontal="left" vertical="center" wrapText="1"/>
      <protection locked="0"/>
    </xf>
    <xf numFmtId="166" fontId="0" fillId="0" borderId="13" xfId="0" applyNumberFormat="1" applyBorder="1" applyAlignment="1" applyProtection="1">
      <alignment horizontal="center" vertical="center"/>
      <protection locked="0"/>
    </xf>
    <xf numFmtId="0" fontId="21" fillId="8" borderId="30" xfId="0" applyFont="1" applyFill="1" applyBorder="1" applyAlignment="1" applyProtection="1">
      <alignment horizontal="left" vertical="center"/>
      <protection locked="0"/>
    </xf>
    <xf numFmtId="0" fontId="0" fillId="8" borderId="30" xfId="0" applyFont="1" applyFill="1" applyBorder="1" applyAlignment="1" applyProtection="1">
      <alignment horizontal="left" vertical="center" wrapText="1"/>
      <protection locked="0"/>
    </xf>
    <xf numFmtId="166" fontId="0" fillId="0" borderId="27" xfId="0" applyNumberFormat="1" applyBorder="1" applyAlignment="1" applyProtection="1">
      <alignment horizontal="center" vertical="center"/>
      <protection locked="0"/>
    </xf>
    <xf numFmtId="0" fontId="0" fillId="8" borderId="30" xfId="0" applyFont="1" applyFill="1" applyBorder="1" applyAlignment="1" applyProtection="1">
      <alignment horizontal="left" vertical="center"/>
      <protection locked="0"/>
    </xf>
    <xf numFmtId="44" fontId="0" fillId="0" borderId="0" xfId="1" applyFont="1" applyProtection="1">
      <protection locked="0"/>
    </xf>
    <xf numFmtId="0" fontId="27" fillId="8" borderId="22" xfId="0" applyFont="1" applyFill="1" applyBorder="1" applyAlignment="1" applyProtection="1">
      <alignment horizontal="left" vertical="center"/>
      <protection locked="0"/>
    </xf>
    <xf numFmtId="0" fontId="27" fillId="8" borderId="23" xfId="0" applyFont="1" applyFill="1" applyBorder="1" applyAlignment="1" applyProtection="1">
      <alignment horizontal="left" vertical="center"/>
      <protection locked="0"/>
    </xf>
    <xf numFmtId="0" fontId="29" fillId="8" borderId="23" xfId="0" applyFont="1" applyFill="1" applyBorder="1" applyAlignment="1" applyProtection="1">
      <alignment horizontal="left" vertical="center" wrapText="1"/>
      <protection locked="0"/>
    </xf>
    <xf numFmtId="166" fontId="29" fillId="0" borderId="13" xfId="0" applyNumberFormat="1" applyFont="1" applyBorder="1" applyAlignment="1" applyProtection="1">
      <alignment horizontal="center" vertical="center"/>
      <protection locked="0"/>
    </xf>
    <xf numFmtId="0" fontId="28" fillId="8" borderId="23" xfId="0" applyFont="1" applyFill="1" applyBorder="1" applyAlignment="1" applyProtection="1">
      <alignment horizontal="left" vertical="center"/>
      <protection locked="0"/>
    </xf>
    <xf numFmtId="0" fontId="0" fillId="8" borderId="23" xfId="0" applyFont="1" applyFill="1" applyBorder="1" applyAlignment="1" applyProtection="1">
      <alignment horizontal="left" vertical="center"/>
      <protection locked="0"/>
    </xf>
    <xf numFmtId="0" fontId="21" fillId="9" borderId="22" xfId="0" applyFont="1" applyFill="1" applyBorder="1" applyAlignment="1" applyProtection="1">
      <alignment horizontal="left" vertical="center"/>
      <protection locked="0"/>
    </xf>
    <xf numFmtId="0" fontId="21" fillId="9" borderId="23" xfId="0" applyFont="1" applyFill="1" applyBorder="1" applyAlignment="1" applyProtection="1">
      <alignment horizontal="left" vertical="center"/>
      <protection locked="0"/>
    </xf>
    <xf numFmtId="0" fontId="0" fillId="9" borderId="23" xfId="0" applyFont="1" applyFill="1" applyBorder="1" applyAlignment="1" applyProtection="1">
      <alignment horizontal="left" vertical="center" wrapText="1"/>
      <protection locked="0"/>
    </xf>
    <xf numFmtId="166" fontId="0" fillId="9" borderId="13" xfId="0" applyNumberFormat="1" applyFill="1" applyBorder="1" applyAlignment="1" applyProtection="1">
      <alignment horizontal="center" vertical="center"/>
      <protection locked="0"/>
    </xf>
    <xf numFmtId="166" fontId="0" fillId="0" borderId="33" xfId="0" applyNumberFormat="1" applyBorder="1" applyAlignment="1" applyProtection="1">
      <alignment horizontal="center" vertical="center"/>
      <protection locked="0"/>
    </xf>
    <xf numFmtId="0" fontId="0" fillId="8" borderId="22" xfId="0" applyFont="1" applyFill="1" applyBorder="1" applyAlignment="1" applyProtection="1">
      <alignment horizontal="left" vertical="center"/>
      <protection locked="0"/>
    </xf>
    <xf numFmtId="44" fontId="0" fillId="0" borderId="33" xfId="1" applyFont="1" applyBorder="1" applyProtection="1">
      <protection locked="0"/>
    </xf>
    <xf numFmtId="44" fontId="0" fillId="0" borderId="30" xfId="1" applyFont="1" applyBorder="1" applyProtection="1">
      <protection locked="0"/>
    </xf>
    <xf numFmtId="44" fontId="0" fillId="0" borderId="23" xfId="1" applyFont="1" applyBorder="1" applyProtection="1">
      <protection locked="0"/>
    </xf>
    <xf numFmtId="166" fontId="20" fillId="7" borderId="13" xfId="2" applyNumberFormat="1" applyBorder="1" applyAlignment="1" applyProtection="1">
      <alignment horizontal="center" vertical="center"/>
      <protection locked="0"/>
    </xf>
    <xf numFmtId="0" fontId="21" fillId="8" borderId="22" xfId="0" applyFont="1" applyFill="1" applyBorder="1" applyAlignment="1" applyProtection="1">
      <alignment horizontal="left" vertical="center" wrapText="1"/>
      <protection locked="0"/>
    </xf>
    <xf numFmtId="0" fontId="21" fillId="8" borderId="23" xfId="0" applyFont="1" applyFill="1" applyBorder="1" applyAlignment="1" applyProtection="1">
      <alignment horizontal="left" vertical="center" wrapText="1"/>
      <protection locked="0"/>
    </xf>
    <xf numFmtId="0" fontId="22" fillId="8" borderId="22" xfId="0" applyFont="1" applyFill="1" applyBorder="1" applyProtection="1">
      <protection locked="0"/>
    </xf>
    <xf numFmtId="0" fontId="22" fillId="8" borderId="23" xfId="0" applyFont="1" applyFill="1" applyBorder="1" applyProtection="1">
      <protection locked="0"/>
    </xf>
    <xf numFmtId="0" fontId="18" fillId="8" borderId="23" xfId="0" applyFont="1" applyFill="1" applyBorder="1" applyAlignment="1" applyProtection="1">
      <alignment wrapText="1"/>
      <protection locked="0"/>
    </xf>
    <xf numFmtId="166" fontId="18" fillId="0" borderId="13" xfId="0" applyNumberFormat="1" applyFont="1" applyFill="1" applyBorder="1" applyProtection="1">
      <protection locked="0"/>
    </xf>
    <xf numFmtId="0" fontId="18" fillId="8" borderId="23" xfId="0" applyFont="1" applyFill="1" applyBorder="1" applyProtection="1">
      <protection locked="0"/>
    </xf>
    <xf numFmtId="166" fontId="20" fillId="7" borderId="13" xfId="2" applyNumberFormat="1" applyBorder="1" applyProtection="1">
      <protection locked="0"/>
    </xf>
    <xf numFmtId="0" fontId="22" fillId="8" borderId="24" xfId="0" applyFont="1" applyFill="1" applyBorder="1" applyProtection="1">
      <protection locked="0"/>
    </xf>
    <xf numFmtId="0" fontId="22" fillId="8" borderId="25" xfId="0" applyFont="1" applyFill="1" applyBorder="1" applyProtection="1">
      <protection locked="0"/>
    </xf>
    <xf numFmtId="0" fontId="18" fillId="8" borderId="25" xfId="0" applyFont="1" applyFill="1" applyBorder="1" applyAlignment="1" applyProtection="1">
      <alignment horizontal="left" wrapText="1"/>
      <protection locked="0"/>
    </xf>
    <xf numFmtId="166" fontId="18" fillId="0" borderId="34" xfId="0" applyNumberFormat="1" applyFont="1" applyFill="1" applyBorder="1" applyProtection="1">
      <protection locked="0"/>
    </xf>
    <xf numFmtId="0" fontId="18" fillId="8" borderId="25" xfId="0" applyFont="1" applyFill="1" applyBorder="1" applyAlignment="1" applyProtection="1">
      <alignment wrapText="1"/>
      <protection locked="0"/>
    </xf>
    <xf numFmtId="166" fontId="2" fillId="2" borderId="10" xfId="0" applyNumberFormat="1" applyFont="1" applyFill="1" applyBorder="1" applyAlignment="1" applyProtection="1">
      <alignment horizontal="right" vertical="top" wrapText="1"/>
      <protection locked="0"/>
    </xf>
    <xf numFmtId="164" fontId="4" fillId="2" borderId="0" xfId="0" applyNumberFormat="1" applyFont="1" applyFill="1" applyAlignment="1" applyProtection="1">
      <alignment horizontal="right" vertical="top" wrapText="1"/>
      <protection locked="0"/>
    </xf>
    <xf numFmtId="0" fontId="1" fillId="2" borderId="7" xfId="0" applyFont="1" applyFill="1" applyBorder="1" applyAlignment="1" applyProtection="1">
      <alignment horizontal="center" vertical="top" wrapText="1"/>
      <protection locked="0"/>
    </xf>
    <xf numFmtId="44" fontId="0" fillId="0" borderId="0" xfId="1" applyFont="1" applyProtection="1"/>
    <xf numFmtId="166" fontId="0" fillId="0" borderId="0" xfId="1" applyNumberFormat="1" applyFont="1" applyProtection="1"/>
    <xf numFmtId="44" fontId="0" fillId="0" borderId="0" xfId="0" applyNumberFormat="1" applyProtection="1"/>
    <xf numFmtId="165" fontId="14" fillId="3" borderId="16" xfId="0" applyNumberFormat="1" applyFont="1" applyFill="1" applyBorder="1" applyAlignment="1" applyProtection="1">
      <alignment horizontal="center" vertical="center" wrapText="1"/>
    </xf>
    <xf numFmtId="165" fontId="14" fillId="3" borderId="55" xfId="0" applyNumberFormat="1" applyFont="1" applyFill="1" applyBorder="1" applyAlignment="1" applyProtection="1">
      <alignment horizontal="center" vertical="center" wrapText="1"/>
    </xf>
    <xf numFmtId="3" fontId="25" fillId="4" borderId="56" xfId="3" applyNumberFormat="1" applyFont="1" applyFill="1" applyBorder="1" applyAlignment="1" applyProtection="1">
      <alignment horizontal="left" vertical="top" wrapText="1"/>
    </xf>
    <xf numFmtId="3" fontId="25" fillId="4" borderId="53" xfId="3" applyNumberFormat="1" applyFont="1" applyFill="1" applyBorder="1" applyAlignment="1" applyProtection="1">
      <alignment horizontal="left" vertical="top" wrapText="1"/>
    </xf>
    <xf numFmtId="0" fontId="13" fillId="4" borderId="40" xfId="0" applyFont="1" applyFill="1" applyBorder="1" applyAlignment="1" applyProtection="1">
      <alignment horizontal="center" vertical="center" wrapText="1"/>
    </xf>
    <xf numFmtId="0" fontId="13" fillId="4" borderId="41" xfId="0" applyFont="1" applyFill="1" applyBorder="1" applyAlignment="1" applyProtection="1">
      <alignment horizontal="center" vertical="center" wrapText="1"/>
    </xf>
    <xf numFmtId="0" fontId="13" fillId="4" borderId="44" xfId="0" applyFont="1" applyFill="1" applyBorder="1" applyAlignment="1" applyProtection="1">
      <alignment horizontal="center" vertical="center" wrapText="1"/>
    </xf>
    <xf numFmtId="0" fontId="13" fillId="4" borderId="45" xfId="0" applyFont="1" applyFill="1" applyBorder="1" applyAlignment="1" applyProtection="1">
      <alignment horizontal="center" vertical="center" wrapText="1"/>
    </xf>
    <xf numFmtId="0" fontId="13" fillId="4" borderId="42" xfId="0" applyFont="1" applyFill="1" applyBorder="1" applyAlignment="1" applyProtection="1">
      <alignment horizontal="center" vertical="center" wrapText="1"/>
    </xf>
    <xf numFmtId="0" fontId="13" fillId="4" borderId="43" xfId="0" applyFont="1" applyFill="1" applyBorder="1" applyAlignment="1" applyProtection="1">
      <alignment horizontal="center" vertical="center" wrapText="1"/>
    </xf>
    <xf numFmtId="165" fontId="9" fillId="3" borderId="40" xfId="0" applyNumberFormat="1" applyFont="1" applyFill="1" applyBorder="1" applyAlignment="1" applyProtection="1">
      <alignment horizontal="center" vertical="top" wrapText="1"/>
    </xf>
    <xf numFmtId="165" fontId="9" fillId="3" borderId="41" xfId="0" applyNumberFormat="1" applyFont="1" applyFill="1" applyBorder="1" applyAlignment="1" applyProtection="1">
      <alignment horizontal="center" vertical="top" wrapText="1"/>
    </xf>
    <xf numFmtId="165" fontId="9" fillId="3" borderId="42" xfId="0" applyNumberFormat="1" applyFont="1" applyFill="1" applyBorder="1" applyAlignment="1" applyProtection="1">
      <alignment horizontal="center" vertical="top" wrapText="1"/>
    </xf>
    <xf numFmtId="165" fontId="9" fillId="3" borderId="43" xfId="0" applyNumberFormat="1" applyFont="1" applyFill="1" applyBorder="1" applyAlignment="1" applyProtection="1">
      <alignment horizontal="center" vertical="top" wrapText="1"/>
    </xf>
    <xf numFmtId="0" fontId="13" fillId="4" borderId="7" xfId="0" applyFont="1" applyFill="1" applyBorder="1" applyAlignment="1" applyProtection="1">
      <alignment horizontal="center" vertical="center" wrapText="1"/>
    </xf>
    <xf numFmtId="0" fontId="13" fillId="4" borderId="0" xfId="0" applyFont="1" applyFill="1" applyBorder="1" applyAlignment="1" applyProtection="1">
      <alignment horizontal="center" vertical="center" wrapText="1"/>
    </xf>
    <xf numFmtId="0" fontId="13" fillId="4" borderId="53" xfId="0" applyFont="1" applyFill="1" applyBorder="1" applyAlignment="1" applyProtection="1">
      <alignment horizontal="center" vertical="center" wrapText="1"/>
    </xf>
    <xf numFmtId="165" fontId="9" fillId="3" borderId="7" xfId="0" applyNumberFormat="1" applyFont="1" applyFill="1" applyBorder="1" applyAlignment="1" applyProtection="1">
      <alignment horizontal="center" vertical="top" wrapText="1"/>
    </xf>
    <xf numFmtId="165" fontId="9" fillId="3" borderId="53" xfId="0" applyNumberFormat="1" applyFont="1" applyFill="1" applyBorder="1" applyAlignment="1" applyProtection="1">
      <alignment horizontal="center" vertical="top" wrapText="1"/>
    </xf>
    <xf numFmtId="166" fontId="1" fillId="2" borderId="16" xfId="0" applyNumberFormat="1" applyFont="1" applyFill="1" applyBorder="1" applyAlignment="1" applyProtection="1">
      <alignment horizontal="left" vertical="center" wrapText="1"/>
    </xf>
    <xf numFmtId="166" fontId="1" fillId="2" borderId="17" xfId="0" applyNumberFormat="1" applyFont="1" applyFill="1" applyBorder="1" applyAlignment="1" applyProtection="1">
      <alignment horizontal="left" vertical="center" wrapText="1"/>
    </xf>
    <xf numFmtId="166" fontId="1" fillId="2" borderId="18" xfId="0" applyNumberFormat="1" applyFont="1" applyFill="1" applyBorder="1" applyAlignment="1" applyProtection="1">
      <alignment horizontal="left" vertical="center" wrapText="1"/>
    </xf>
    <xf numFmtId="166" fontId="1" fillId="2" borderId="19" xfId="0" applyNumberFormat="1" applyFont="1" applyFill="1" applyBorder="1" applyAlignment="1" applyProtection="1">
      <alignment horizontal="left" vertical="center" wrapText="1"/>
    </xf>
    <xf numFmtId="166" fontId="1" fillId="2" borderId="20" xfId="0" applyNumberFormat="1" applyFont="1" applyFill="1" applyBorder="1" applyAlignment="1" applyProtection="1">
      <alignment horizontal="left" vertical="center" wrapText="1"/>
    </xf>
    <xf numFmtId="166" fontId="1" fillId="2" borderId="21" xfId="0" applyNumberFormat="1" applyFont="1" applyFill="1" applyBorder="1" applyAlignment="1" applyProtection="1">
      <alignment horizontal="left" vertical="center" wrapText="1"/>
    </xf>
    <xf numFmtId="0" fontId="31" fillId="0" borderId="0" xfId="0" applyFont="1" applyAlignment="1" applyProtection="1">
      <alignment horizontal="center"/>
    </xf>
    <xf numFmtId="0" fontId="0" fillId="0" borderId="0" xfId="0" applyAlignment="1" applyProtection="1">
      <alignment horizontal="center"/>
    </xf>
    <xf numFmtId="3" fontId="15" fillId="4" borderId="57" xfId="0" applyNumberFormat="1" applyFont="1" applyFill="1" applyBorder="1" applyAlignment="1" applyProtection="1">
      <alignment horizontal="left" vertical="top" wrapText="1"/>
    </xf>
    <xf numFmtId="3" fontId="15" fillId="4" borderId="54" xfId="0" applyNumberFormat="1" applyFont="1" applyFill="1" applyBorder="1" applyAlignment="1" applyProtection="1">
      <alignment horizontal="left" vertical="top" wrapText="1"/>
    </xf>
    <xf numFmtId="3" fontId="15" fillId="4" borderId="28" xfId="0" applyNumberFormat="1" applyFont="1" applyFill="1" applyBorder="1" applyAlignment="1" applyProtection="1">
      <alignment horizontal="left" vertical="top" wrapText="1"/>
    </xf>
    <xf numFmtId="0" fontId="3" fillId="4" borderId="1" xfId="0" applyFont="1" applyFill="1" applyBorder="1" applyAlignment="1" applyProtection="1">
      <alignment horizontal="right" vertical="center" wrapText="1"/>
    </xf>
    <xf numFmtId="0" fontId="3" fillId="4" borderId="2" xfId="0" applyFont="1" applyFill="1" applyBorder="1" applyAlignment="1" applyProtection="1">
      <alignment horizontal="right" vertical="center" wrapText="1"/>
    </xf>
    <xf numFmtId="0" fontId="3" fillId="4" borderId="3" xfId="0" applyFont="1" applyFill="1" applyBorder="1" applyAlignment="1" applyProtection="1">
      <alignment horizontal="right" vertical="center" wrapText="1"/>
    </xf>
    <xf numFmtId="3" fontId="1" fillId="3" borderId="9" xfId="0" applyNumberFormat="1" applyFont="1" applyFill="1" applyBorder="1" applyAlignment="1" applyProtection="1">
      <alignment horizontal="center" vertical="top" wrapText="1"/>
    </xf>
    <xf numFmtId="3" fontId="3" fillId="4" borderId="1" xfId="0" applyNumberFormat="1" applyFont="1" applyFill="1" applyBorder="1" applyAlignment="1" applyProtection="1">
      <alignment horizontal="left" vertical="top" wrapText="1"/>
    </xf>
    <xf numFmtId="3" fontId="3" fillId="4" borderId="2" xfId="0" applyNumberFormat="1" applyFont="1" applyFill="1" applyBorder="1" applyAlignment="1" applyProtection="1">
      <alignment horizontal="left" vertical="top" wrapText="1"/>
    </xf>
    <xf numFmtId="3" fontId="3" fillId="4" borderId="3" xfId="0" applyNumberFormat="1" applyFont="1" applyFill="1" applyBorder="1" applyAlignment="1" applyProtection="1">
      <alignment horizontal="left" vertical="top" wrapText="1"/>
    </xf>
    <xf numFmtId="0" fontId="10" fillId="4" borderId="8" xfId="0" applyFont="1" applyFill="1" applyBorder="1" applyAlignment="1" applyProtection="1">
      <alignment horizontal="center" vertical="center" wrapText="1"/>
    </xf>
    <xf numFmtId="0" fontId="10" fillId="4" borderId="0" xfId="0" applyFont="1" applyFill="1" applyBorder="1" applyAlignment="1" applyProtection="1">
      <alignment horizontal="center" vertical="center" wrapText="1"/>
    </xf>
    <xf numFmtId="0" fontId="11" fillId="5" borderId="0" xfId="0" applyFont="1" applyFill="1" applyAlignment="1" applyProtection="1">
      <alignment horizontal="center"/>
    </xf>
    <xf numFmtId="165" fontId="8" fillId="3" borderId="1" xfId="0" applyNumberFormat="1" applyFont="1" applyFill="1" applyBorder="1" applyAlignment="1" applyProtection="1">
      <alignment horizontal="center" vertical="top" wrapText="1"/>
    </xf>
    <xf numFmtId="165" fontId="8" fillId="3" borderId="2" xfId="0" applyNumberFormat="1" applyFont="1" applyFill="1" applyBorder="1" applyAlignment="1" applyProtection="1">
      <alignment horizontal="center" vertical="top" wrapText="1"/>
    </xf>
    <xf numFmtId="3" fontId="1" fillId="3" borderId="1" xfId="0" applyNumberFormat="1" applyFont="1" applyFill="1" applyBorder="1" applyAlignment="1" applyProtection="1">
      <alignment horizontal="center" vertical="top" wrapText="1"/>
    </xf>
    <xf numFmtId="3" fontId="1" fillId="3" borderId="3" xfId="0" applyNumberFormat="1" applyFont="1" applyFill="1" applyBorder="1" applyAlignment="1" applyProtection="1">
      <alignment horizontal="center" vertical="top" wrapText="1"/>
    </xf>
    <xf numFmtId="0" fontId="17" fillId="0" borderId="16" xfId="0" applyFont="1" applyFill="1" applyBorder="1" applyAlignment="1">
      <alignment horizontal="center" vertical="center"/>
    </xf>
    <xf numFmtId="0" fontId="17" fillId="0" borderId="17" xfId="0" applyFont="1" applyFill="1" applyBorder="1" applyAlignment="1">
      <alignment horizontal="center" vertical="center"/>
    </xf>
    <xf numFmtId="0" fontId="17" fillId="0" borderId="18" xfId="0" applyFont="1" applyFill="1" applyBorder="1" applyAlignment="1">
      <alignment horizontal="center" vertical="center"/>
    </xf>
    <xf numFmtId="0" fontId="17" fillId="0" borderId="19" xfId="0" applyFont="1" applyFill="1" applyBorder="1" applyAlignment="1">
      <alignment horizontal="center" vertical="center"/>
    </xf>
    <xf numFmtId="0" fontId="17" fillId="0" borderId="20" xfId="0" applyFont="1" applyFill="1" applyBorder="1" applyAlignment="1">
      <alignment horizontal="center" vertical="center"/>
    </xf>
    <xf numFmtId="0" fontId="17" fillId="0" borderId="21" xfId="0" applyFont="1" applyFill="1" applyBorder="1" applyAlignment="1">
      <alignment horizontal="center" vertical="center"/>
    </xf>
  </cellXfs>
  <cellStyles count="4">
    <cellStyle name="Hipervínculo" xfId="3" builtinId="8"/>
    <cellStyle name="Incorrecto" xfId="2" builtinId="27"/>
    <cellStyle name="Moneda" xfId="1" builtinId="4"/>
    <cellStyle name="Normal" xfId="0" builtinId="0"/>
  </cellStyles>
  <dxfs count="0"/>
  <tableStyles count="0" defaultTableStyle="TableStyleMedium9" defaultPivotStyle="PivotStyleLight16"/>
  <colors>
    <mruColors>
      <color rgb="FF0038A8"/>
      <color rgb="FFEAEAEA"/>
      <color rgb="FFE8112D"/>
      <color rgb="FF00112D"/>
      <color rgb="FF50AEE4"/>
      <color rgb="FFFDE5A1"/>
      <color rgb="FFB97206"/>
      <color rgb="FFB96600"/>
      <color rgb="FF276F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3</xdr:col>
      <xdr:colOff>2024887</xdr:colOff>
      <xdr:row>1</xdr:row>
      <xdr:rowOff>70661</xdr:rowOff>
    </xdr:from>
    <xdr:to>
      <xdr:col>5</xdr:col>
      <xdr:colOff>4252</xdr:colOff>
      <xdr:row>8</xdr:row>
      <xdr:rowOff>144027</xdr:rowOff>
    </xdr:to>
    <xdr:pic>
      <xdr:nvPicPr>
        <xdr:cNvPr id="2" name="Imagen 1">
          <a:extLst>
            <a:ext uri="{FF2B5EF4-FFF2-40B4-BE49-F238E27FC236}">
              <a16:creationId xmlns:a16="http://schemas.microsoft.com/office/drawing/2014/main" id="{F76F49CE-1AF8-40CA-9026-3D88B7573F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33972" y="146861"/>
          <a:ext cx="1886520" cy="143734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1202047</xdr:colOff>
      <xdr:row>8</xdr:row>
      <xdr:rowOff>32658</xdr:rowOff>
    </xdr:to>
    <xdr:pic>
      <xdr:nvPicPr>
        <xdr:cNvPr id="2" name="Imagen 1">
          <a:extLst>
            <a:ext uri="{FF2B5EF4-FFF2-40B4-BE49-F238E27FC236}">
              <a16:creationId xmlns:a16="http://schemas.microsoft.com/office/drawing/2014/main" id="{10EFA930-1EFE-48C2-85E0-7F7D8848B7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87649" cy="13977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1195120</xdr:colOff>
      <xdr:row>8</xdr:row>
      <xdr:rowOff>32658</xdr:rowOff>
    </xdr:to>
    <xdr:pic>
      <xdr:nvPicPr>
        <xdr:cNvPr id="2" name="Imagen 1">
          <a:extLst>
            <a:ext uri="{FF2B5EF4-FFF2-40B4-BE49-F238E27FC236}">
              <a16:creationId xmlns:a16="http://schemas.microsoft.com/office/drawing/2014/main" id="{7554E1B5-16DB-4083-A31C-CD1CB17A6E2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91805" cy="13977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1195120</xdr:colOff>
      <xdr:row>8</xdr:row>
      <xdr:rowOff>32658</xdr:rowOff>
    </xdr:to>
    <xdr:pic>
      <xdr:nvPicPr>
        <xdr:cNvPr id="2" name="Imagen 1">
          <a:extLst>
            <a:ext uri="{FF2B5EF4-FFF2-40B4-BE49-F238E27FC236}">
              <a16:creationId xmlns:a16="http://schemas.microsoft.com/office/drawing/2014/main" id="{F4522BB4-22CD-48EF-A669-1241202BE4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91805" cy="13977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1195120</xdr:colOff>
      <xdr:row>8</xdr:row>
      <xdr:rowOff>32658</xdr:rowOff>
    </xdr:to>
    <xdr:pic>
      <xdr:nvPicPr>
        <xdr:cNvPr id="2" name="Imagen 1">
          <a:extLst>
            <a:ext uri="{FF2B5EF4-FFF2-40B4-BE49-F238E27FC236}">
              <a16:creationId xmlns:a16="http://schemas.microsoft.com/office/drawing/2014/main" id="{018EAEAC-9B1E-42EA-8884-6DB4425A25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91805" cy="139772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1195120</xdr:colOff>
      <xdr:row>8</xdr:row>
      <xdr:rowOff>32658</xdr:rowOff>
    </xdr:to>
    <xdr:pic>
      <xdr:nvPicPr>
        <xdr:cNvPr id="2" name="Imagen 1">
          <a:extLst>
            <a:ext uri="{FF2B5EF4-FFF2-40B4-BE49-F238E27FC236}">
              <a16:creationId xmlns:a16="http://schemas.microsoft.com/office/drawing/2014/main" id="{D2A56B8C-0E2F-42D1-8EE0-2E5DFA8D59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91805" cy="139772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1195120</xdr:colOff>
      <xdr:row>8</xdr:row>
      <xdr:rowOff>32658</xdr:rowOff>
    </xdr:to>
    <xdr:pic>
      <xdr:nvPicPr>
        <xdr:cNvPr id="2" name="Imagen 1">
          <a:extLst>
            <a:ext uri="{FF2B5EF4-FFF2-40B4-BE49-F238E27FC236}">
              <a16:creationId xmlns:a16="http://schemas.microsoft.com/office/drawing/2014/main" id="{E365ED8D-1FAB-4FC6-A8ED-AE9395F18F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91805" cy="139772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1195120</xdr:colOff>
      <xdr:row>8</xdr:row>
      <xdr:rowOff>32658</xdr:rowOff>
    </xdr:to>
    <xdr:pic>
      <xdr:nvPicPr>
        <xdr:cNvPr id="2" name="Imagen 1">
          <a:extLst>
            <a:ext uri="{FF2B5EF4-FFF2-40B4-BE49-F238E27FC236}">
              <a16:creationId xmlns:a16="http://schemas.microsoft.com/office/drawing/2014/main" id="{98F45DD1-D3C3-4190-9408-F273B313B5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91805" cy="139772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1195120</xdr:colOff>
      <xdr:row>8</xdr:row>
      <xdr:rowOff>32658</xdr:rowOff>
    </xdr:to>
    <xdr:pic>
      <xdr:nvPicPr>
        <xdr:cNvPr id="2" name="Imagen 1">
          <a:extLst>
            <a:ext uri="{FF2B5EF4-FFF2-40B4-BE49-F238E27FC236}">
              <a16:creationId xmlns:a16="http://schemas.microsoft.com/office/drawing/2014/main" id="{1BFB7C78-6774-4A79-B77E-F0CF967678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91805" cy="139772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0</xdr:col>
      <xdr:colOff>65315</xdr:colOff>
      <xdr:row>0</xdr:row>
      <xdr:rowOff>97972</xdr:rowOff>
    </xdr:from>
    <xdr:to>
      <xdr:col>2</xdr:col>
      <xdr:colOff>1202047</xdr:colOff>
      <xdr:row>8</xdr:row>
      <xdr:rowOff>32658</xdr:rowOff>
    </xdr:to>
    <xdr:pic>
      <xdr:nvPicPr>
        <xdr:cNvPr id="2" name="Imagen 1">
          <a:extLst>
            <a:ext uri="{FF2B5EF4-FFF2-40B4-BE49-F238E27FC236}">
              <a16:creationId xmlns:a16="http://schemas.microsoft.com/office/drawing/2014/main" id="{D88D1ABF-8CA6-4290-AD61-38DBC4815B8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7972"/>
          <a:ext cx="1887649" cy="139772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E9247-01B3-4DCF-BB0B-A562CFCF42BB}">
  <dimension ref="B1:K34"/>
  <sheetViews>
    <sheetView showGridLines="0" showRowColHeaders="0" topLeftCell="C13" zoomScaleNormal="100" workbookViewId="0">
      <selection activeCell="G23" sqref="G23:G24"/>
    </sheetView>
  </sheetViews>
  <sheetFormatPr baseColWidth="10" defaultColWidth="11.54296875" defaultRowHeight="14.5" x14ac:dyDescent="0.35"/>
  <cols>
    <col min="1" max="1" width="4.08984375" style="1" customWidth="1"/>
    <col min="2" max="2" width="52" style="1" customWidth="1"/>
    <col min="3" max="3" width="3.54296875" style="1" customWidth="1"/>
    <col min="4" max="4" width="30.453125" style="1" customWidth="1"/>
    <col min="5" max="5" width="26.54296875" style="1" customWidth="1"/>
    <col min="6" max="6" width="52" style="1" customWidth="1"/>
    <col min="7" max="7" width="3.54296875" style="1" customWidth="1"/>
    <col min="8" max="8" width="30.453125" style="1" customWidth="1"/>
    <col min="9" max="9" width="15.453125" style="1" customWidth="1"/>
    <col min="10" max="10" width="48.90625" style="1" hidden="1" customWidth="1"/>
    <col min="11" max="11" width="28.54296875" style="1" hidden="1" customWidth="1"/>
    <col min="12" max="12" width="16" style="1" bestFit="1" customWidth="1"/>
    <col min="13" max="16384" width="11.54296875" style="1"/>
  </cols>
  <sheetData>
    <row r="1" spans="2:11" ht="6" customHeight="1" x14ac:dyDescent="0.35"/>
    <row r="2" spans="2:11" ht="14.4" customHeight="1" x14ac:dyDescent="0.35">
      <c r="B2" s="168" t="s">
        <v>142</v>
      </c>
      <c r="C2" s="178"/>
      <c r="D2" s="169"/>
      <c r="F2" s="168" t="s">
        <v>142</v>
      </c>
      <c r="G2" s="178"/>
      <c r="H2" s="169"/>
      <c r="J2" s="168" t="s">
        <v>131</v>
      </c>
      <c r="K2" s="169"/>
    </row>
    <row r="3" spans="2:11" ht="14.4" customHeight="1" x14ac:dyDescent="0.35">
      <c r="B3" s="170"/>
      <c r="C3" s="179"/>
      <c r="D3" s="171"/>
      <c r="F3" s="170"/>
      <c r="G3" s="179"/>
      <c r="H3" s="171"/>
      <c r="J3" s="170"/>
      <c r="K3" s="171"/>
    </row>
    <row r="4" spans="2:11" ht="14.4" customHeight="1" x14ac:dyDescent="0.35">
      <c r="B4" s="170"/>
      <c r="C4" s="179"/>
      <c r="D4" s="171"/>
      <c r="F4" s="170"/>
      <c r="G4" s="179"/>
      <c r="H4" s="171"/>
      <c r="J4" s="170"/>
      <c r="K4" s="171"/>
    </row>
    <row r="5" spans="2:11" ht="2.4" customHeight="1" x14ac:dyDescent="0.35">
      <c r="B5" s="172"/>
      <c r="C5" s="180"/>
      <c r="D5" s="173"/>
      <c r="F5" s="172"/>
      <c r="G5" s="180"/>
      <c r="H5" s="173"/>
      <c r="J5" s="172"/>
      <c r="K5" s="173"/>
    </row>
    <row r="6" spans="2:11" ht="14.15" customHeight="1" x14ac:dyDescent="0.35"/>
    <row r="7" spans="2:11" ht="24" customHeight="1" x14ac:dyDescent="0.35">
      <c r="B7" s="174" t="s">
        <v>143</v>
      </c>
      <c r="C7" s="181"/>
      <c r="D7" s="175"/>
      <c r="F7" s="174" t="s">
        <v>143</v>
      </c>
      <c r="G7" s="181"/>
      <c r="H7" s="175"/>
      <c r="J7" s="174" t="s">
        <v>141</v>
      </c>
      <c r="K7" s="175"/>
    </row>
    <row r="8" spans="2:11" ht="24" customHeight="1" x14ac:dyDescent="0.35">
      <c r="B8" s="176"/>
      <c r="C8" s="182"/>
      <c r="D8" s="177"/>
      <c r="F8" s="176"/>
      <c r="G8" s="182"/>
      <c r="H8" s="177"/>
      <c r="J8" s="176"/>
      <c r="K8" s="177"/>
    </row>
    <row r="9" spans="2:11" ht="14.4" customHeight="1" thickBot="1" x14ac:dyDescent="0.4"/>
    <row r="10" spans="2:11" ht="41.15" customHeight="1" x14ac:dyDescent="0.35">
      <c r="B10" s="164" t="s">
        <v>9</v>
      </c>
      <c r="C10" s="165"/>
      <c r="D10" s="26" t="s">
        <v>130</v>
      </c>
      <c r="F10" s="164" t="s">
        <v>9</v>
      </c>
      <c r="G10" s="165"/>
      <c r="H10" s="26" t="s">
        <v>130</v>
      </c>
      <c r="J10" s="107" t="s">
        <v>9</v>
      </c>
      <c r="K10" s="26" t="s">
        <v>130</v>
      </c>
    </row>
    <row r="11" spans="2:11" x14ac:dyDescent="0.35">
      <c r="B11" s="166" t="s">
        <v>144</v>
      </c>
      <c r="C11" s="167"/>
      <c r="D11" s="108">
        <f>'5_ALUCHE'!D17</f>
        <v>60150.115944444464</v>
      </c>
      <c r="F11" s="166" t="s">
        <v>144</v>
      </c>
      <c r="G11" s="167"/>
      <c r="H11" s="108">
        <f>'5_ALUCHE'!L17</f>
        <v>0</v>
      </c>
      <c r="J11" s="46" t="s">
        <v>132</v>
      </c>
      <c r="K11" s="108">
        <f>'5_ALUCHE'!D14</f>
        <v>9867.3804722222285</v>
      </c>
    </row>
    <row r="12" spans="2:11" x14ac:dyDescent="0.35">
      <c r="B12" s="166" t="s">
        <v>145</v>
      </c>
      <c r="C12" s="167"/>
      <c r="D12" s="109">
        <f>'6_FUENCARRAL'!D18</f>
        <v>94717.169444444458</v>
      </c>
      <c r="F12" s="166" t="s">
        <v>145</v>
      </c>
      <c r="G12" s="167"/>
      <c r="H12" s="109">
        <f>'6_FUENCARRAL'!L18</f>
        <v>0</v>
      </c>
      <c r="J12" s="47" t="s">
        <v>133</v>
      </c>
      <c r="K12" s="109">
        <f>'6_FUENCARRAL'!D14</f>
        <v>8474.3262361111138</v>
      </c>
    </row>
    <row r="13" spans="2:11" x14ac:dyDescent="0.35">
      <c r="B13" s="166" t="s">
        <v>146</v>
      </c>
      <c r="C13" s="167"/>
      <c r="D13" s="109">
        <f>'7_SACEDAL'!D18</f>
        <v>86992.928680555575</v>
      </c>
      <c r="F13" s="166" t="s">
        <v>146</v>
      </c>
      <c r="G13" s="167"/>
      <c r="H13" s="109">
        <f>'7_SACEDAL'!L18</f>
        <v>0</v>
      </c>
      <c r="J13" s="47" t="s">
        <v>134</v>
      </c>
      <c r="K13" s="109">
        <f>'7_SACEDAL'!D14</f>
        <v>8313.2752361111125</v>
      </c>
    </row>
    <row r="14" spans="2:11" x14ac:dyDescent="0.35">
      <c r="B14" s="166" t="s">
        <v>147</v>
      </c>
      <c r="C14" s="167"/>
      <c r="D14" s="109">
        <f>'8_LAGUNA'!D17</f>
        <v>70248.180708333341</v>
      </c>
      <c r="F14" s="166" t="s">
        <v>147</v>
      </c>
      <c r="G14" s="167"/>
      <c r="H14" s="109">
        <f>'8_LAGUNA'!L17</f>
        <v>0</v>
      </c>
      <c r="J14" s="47" t="s">
        <v>135</v>
      </c>
      <c r="K14" s="109">
        <f>'8_LAGUNA'!D14</f>
        <v>4190.01</v>
      </c>
    </row>
    <row r="15" spans="2:11" x14ac:dyDescent="0.35">
      <c r="B15" s="166" t="s">
        <v>148</v>
      </c>
      <c r="C15" s="167"/>
      <c r="D15" s="109">
        <f>'9.1_HORTALEZA'!D18</f>
        <v>22629.712736111112</v>
      </c>
      <c r="F15" s="166" t="s">
        <v>148</v>
      </c>
      <c r="G15" s="167"/>
      <c r="H15" s="109">
        <f>'9.1_HORTALEZA'!L18</f>
        <v>0</v>
      </c>
      <c r="J15" s="47" t="s">
        <v>136</v>
      </c>
      <c r="K15" s="109">
        <f>'9.1_HORTALEZA'!D14</f>
        <v>9664.130236111112</v>
      </c>
    </row>
    <row r="16" spans="2:11" x14ac:dyDescent="0.35">
      <c r="B16" s="166" t="s">
        <v>149</v>
      </c>
      <c r="C16" s="167"/>
      <c r="D16" s="109">
        <f>'9.4_HORTALEZA'!D16</f>
        <v>100316.96868055557</v>
      </c>
      <c r="F16" s="166" t="s">
        <v>149</v>
      </c>
      <c r="G16" s="167"/>
      <c r="H16" s="109">
        <f>'9.4_HORTALEZA'!L16</f>
        <v>0</v>
      </c>
      <c r="J16" s="47" t="s">
        <v>137</v>
      </c>
      <c r="K16" s="109">
        <v>0</v>
      </c>
    </row>
    <row r="17" spans="2:11" x14ac:dyDescent="0.35">
      <c r="B17" s="166" t="s">
        <v>150</v>
      </c>
      <c r="C17" s="167"/>
      <c r="D17" s="109">
        <f>'11_LORANCA'!D18</f>
        <v>146511.61141666671</v>
      </c>
      <c r="F17" s="166" t="s">
        <v>150</v>
      </c>
      <c r="G17" s="167"/>
      <c r="H17" s="109">
        <f>'11_LORANCA'!L18</f>
        <v>0</v>
      </c>
      <c r="J17" s="47" t="s">
        <v>138</v>
      </c>
      <c r="K17" s="109">
        <f>'11_LORANCA'!D14</f>
        <v>6149.6125000000002</v>
      </c>
    </row>
    <row r="18" spans="2:11" x14ac:dyDescent="0.35">
      <c r="B18" s="166" t="s">
        <v>151</v>
      </c>
      <c r="C18" s="167"/>
      <c r="D18" s="109">
        <f>'12_VALDECARROS'!D17</f>
        <v>85776.08772986113</v>
      </c>
      <c r="F18" s="166" t="s">
        <v>151</v>
      </c>
      <c r="G18" s="167"/>
      <c r="H18" s="109">
        <f>'12_VALDECARROS'!L17</f>
        <v>0</v>
      </c>
      <c r="J18" s="47" t="s">
        <v>139</v>
      </c>
      <c r="K18" s="109">
        <f>'12_VALDECARROS'!D14</f>
        <v>12059.578236111114</v>
      </c>
    </row>
    <row r="19" spans="2:11" ht="15" thickBot="1" x14ac:dyDescent="0.4">
      <c r="B19" s="166" t="s">
        <v>152</v>
      </c>
      <c r="C19" s="167"/>
      <c r="D19" s="110">
        <f>COCH_PTA_ARGANDA!D16</f>
        <v>83791.391944444462</v>
      </c>
      <c r="F19" s="166" t="s">
        <v>152</v>
      </c>
      <c r="G19" s="167"/>
      <c r="H19" s="110">
        <f>COCH_PTA_ARGANDA!L16</f>
        <v>0</v>
      </c>
      <c r="J19" s="48" t="s">
        <v>140</v>
      </c>
      <c r="K19" s="110">
        <f>COCH_PTA_ARGANDA!D14</f>
        <v>5529.7439999999997</v>
      </c>
    </row>
    <row r="20" spans="2:11" ht="15" thickBot="1" x14ac:dyDescent="0.4">
      <c r="B20" s="191" t="s">
        <v>12</v>
      </c>
      <c r="C20" s="192"/>
      <c r="D20" s="39">
        <f>SUM(D11:D19)</f>
        <v>751134.16728541686</v>
      </c>
      <c r="F20" s="191" t="s">
        <v>12</v>
      </c>
      <c r="G20" s="192"/>
      <c r="H20" s="39">
        <f>SUM(H11:H19)</f>
        <v>0</v>
      </c>
      <c r="J20" s="38" t="s">
        <v>12</v>
      </c>
      <c r="K20" s="39">
        <f>SUM(K10:K19)</f>
        <v>64248.056916666683</v>
      </c>
    </row>
    <row r="21" spans="2:11" hidden="1" x14ac:dyDescent="0.35">
      <c r="B21" s="50" t="s">
        <v>293</v>
      </c>
      <c r="C21" s="102">
        <v>98</v>
      </c>
      <c r="D21" s="97">
        <f>D20*(C21/100)</f>
        <v>736111.48393970856</v>
      </c>
      <c r="F21" s="50" t="s">
        <v>293</v>
      </c>
      <c r="G21" s="105">
        <v>98</v>
      </c>
      <c r="H21" s="97">
        <f>H20*(G21/100)</f>
        <v>0</v>
      </c>
      <c r="J21" s="50" t="s">
        <v>182</v>
      </c>
      <c r="K21" s="51">
        <f>K20*0.95</f>
        <v>61035.654070833349</v>
      </c>
    </row>
    <row r="22" spans="2:11" hidden="1" x14ac:dyDescent="0.35">
      <c r="B22" s="37" t="s">
        <v>294</v>
      </c>
      <c r="C22" s="102">
        <v>2</v>
      </c>
      <c r="D22" s="41">
        <f>D20*(C22/100)</f>
        <v>15022.683345708338</v>
      </c>
      <c r="F22" s="37" t="s">
        <v>294</v>
      </c>
      <c r="G22" s="106">
        <v>2</v>
      </c>
      <c r="H22" s="41">
        <f>H20*(G22/100)</f>
        <v>0</v>
      </c>
      <c r="J22" s="37" t="s">
        <v>183</v>
      </c>
      <c r="K22" s="52">
        <f>K20*0.05</f>
        <v>3212.4028458333341</v>
      </c>
    </row>
    <row r="23" spans="2:11" x14ac:dyDescent="0.35">
      <c r="B23" s="36" t="s">
        <v>295</v>
      </c>
      <c r="C23" s="102">
        <v>9</v>
      </c>
      <c r="D23" s="40">
        <f>D20*(C23/100)</f>
        <v>67602.075055687514</v>
      </c>
      <c r="F23" s="36" t="s">
        <v>295</v>
      </c>
      <c r="G23" s="106">
        <v>9</v>
      </c>
      <c r="H23" s="40">
        <f>H20*(G23/100)</f>
        <v>0</v>
      </c>
      <c r="J23" s="36" t="s">
        <v>19</v>
      </c>
      <c r="K23" s="40">
        <f>K20*0.09</f>
        <v>5782.3251225000013</v>
      </c>
    </row>
    <row r="24" spans="2:11" x14ac:dyDescent="0.35">
      <c r="B24" s="96" t="s">
        <v>296</v>
      </c>
      <c r="C24" s="102">
        <v>6</v>
      </c>
      <c r="D24" s="41">
        <f>D20*(C24/100)</f>
        <v>45068.050037125009</v>
      </c>
      <c r="F24" s="96" t="s">
        <v>296</v>
      </c>
      <c r="G24" s="103">
        <v>6</v>
      </c>
      <c r="H24" s="41">
        <f>H20*(G24/100)</f>
        <v>0</v>
      </c>
      <c r="J24" s="37" t="s">
        <v>20</v>
      </c>
      <c r="K24" s="41">
        <f>K20*0.06</f>
        <v>3854.8834150000007</v>
      </c>
    </row>
    <row r="25" spans="2:11" x14ac:dyDescent="0.35">
      <c r="B25" s="95" t="s">
        <v>297</v>
      </c>
      <c r="C25" s="98"/>
      <c r="D25" s="41">
        <f>SUM(D20,D23,D24)</f>
        <v>863804.29237822944</v>
      </c>
      <c r="F25" s="95" t="s">
        <v>297</v>
      </c>
      <c r="G25" s="98"/>
      <c r="H25" s="41">
        <f>SUM(H20,H23,H24)</f>
        <v>0</v>
      </c>
      <c r="J25" s="37" t="s">
        <v>7</v>
      </c>
      <c r="K25" s="41">
        <f>SUM(K20,K23,K24)</f>
        <v>73885.265454166685</v>
      </c>
    </row>
    <row r="26" spans="2:11" ht="15" thickBot="1" x14ac:dyDescent="0.4">
      <c r="B26" s="99" t="s">
        <v>6</v>
      </c>
      <c r="C26" s="100"/>
      <c r="D26" s="54">
        <f>D25*(21/100)</f>
        <v>181398.90139942817</v>
      </c>
      <c r="F26" s="99" t="s">
        <v>6</v>
      </c>
      <c r="G26" s="100"/>
      <c r="H26" s="54">
        <f>H25*(21/100)</f>
        <v>0</v>
      </c>
      <c r="J26" s="53" t="s">
        <v>6</v>
      </c>
      <c r="K26" s="54">
        <f>K25*0.21</f>
        <v>15515.905745375003</v>
      </c>
    </row>
    <row r="27" spans="2:11" ht="16" thickBot="1" x14ac:dyDescent="0.4">
      <c r="B27" s="191" t="s">
        <v>298</v>
      </c>
      <c r="C27" s="193"/>
      <c r="D27" s="94">
        <f>+D25+D26</f>
        <v>1045203.1937776576</v>
      </c>
      <c r="F27" s="191" t="s">
        <v>298</v>
      </c>
      <c r="G27" s="193"/>
      <c r="H27" s="94">
        <f>+H25+H26</f>
        <v>0</v>
      </c>
      <c r="J27" s="38" t="s">
        <v>18</v>
      </c>
      <c r="K27" s="42">
        <f>+K25+K26</f>
        <v>89401.171199541684</v>
      </c>
    </row>
    <row r="29" spans="2:11" ht="18.5" x14ac:dyDescent="0.45">
      <c r="B29" s="189" t="s">
        <v>299</v>
      </c>
      <c r="C29" s="190"/>
      <c r="D29" s="190"/>
      <c r="E29" s="190"/>
      <c r="F29" s="190"/>
      <c r="G29" s="190"/>
      <c r="H29" s="190"/>
      <c r="I29" s="112"/>
    </row>
    <row r="30" spans="2:11" hidden="1" x14ac:dyDescent="0.35">
      <c r="B30" s="183" t="s">
        <v>184</v>
      </c>
      <c r="C30" s="184"/>
      <c r="D30" s="185"/>
      <c r="E30" s="57"/>
      <c r="F30" s="183" t="s">
        <v>184</v>
      </c>
      <c r="G30" s="184"/>
      <c r="H30" s="185"/>
      <c r="I30" s="57"/>
      <c r="J30" s="1">
        <v>722617.31</v>
      </c>
    </row>
    <row r="31" spans="2:11" ht="15" hidden="1" thickBot="1" x14ac:dyDescent="0.4">
      <c r="B31" s="186"/>
      <c r="C31" s="187"/>
      <c r="D31" s="188"/>
      <c r="E31" s="57"/>
      <c r="F31" s="186"/>
      <c r="G31" s="187"/>
      <c r="H31" s="188"/>
      <c r="I31" s="57"/>
      <c r="J31" s="1">
        <v>659744.9</v>
      </c>
    </row>
    <row r="32" spans="2:11" hidden="1" x14ac:dyDescent="0.35">
      <c r="B32" s="58" t="s">
        <v>163</v>
      </c>
      <c r="C32" s="92"/>
      <c r="D32" s="55">
        <v>1</v>
      </c>
      <c r="E32" s="111"/>
      <c r="F32" s="58" t="s">
        <v>163</v>
      </c>
      <c r="G32" s="92"/>
      <c r="H32" s="55">
        <v>1</v>
      </c>
      <c r="I32" s="111"/>
      <c r="J32" s="1">
        <f>J30-J31</f>
        <v>62872.410000000033</v>
      </c>
    </row>
    <row r="33" spans="2:8" ht="15" hidden="1" thickBot="1" x14ac:dyDescent="0.4">
      <c r="B33" s="59" t="s">
        <v>161</v>
      </c>
      <c r="C33" s="93"/>
      <c r="D33" s="56">
        <v>1</v>
      </c>
      <c r="F33" s="59" t="s">
        <v>161</v>
      </c>
      <c r="G33" s="93"/>
      <c r="H33" s="56">
        <v>1</v>
      </c>
    </row>
    <row r="34" spans="2:8" x14ac:dyDescent="0.35">
      <c r="D34" s="104"/>
    </row>
  </sheetData>
  <sheetProtection algorithmName="SHA-512" hashValue="ikX5YLYylkLGn+liwuS8qRraNaZeKTqbL7xB1N1Sx3hVFWeC94kdbV2EVLw0JUbsTZCvMlfKm9df9pIjF8rXUQ==" saltValue="9zZrHbifhNgRweyhMyeFiA==" spinCount="100000" sheet="1" selectLockedCells="1"/>
  <mergeCells count="33">
    <mergeCell ref="F27:G27"/>
    <mergeCell ref="B12:C12"/>
    <mergeCell ref="B13:C13"/>
    <mergeCell ref="B14:C14"/>
    <mergeCell ref="F12:G12"/>
    <mergeCell ref="F13:G13"/>
    <mergeCell ref="F14:G14"/>
    <mergeCell ref="F30:H31"/>
    <mergeCell ref="F15:G15"/>
    <mergeCell ref="F16:G16"/>
    <mergeCell ref="F17:G17"/>
    <mergeCell ref="F18:G18"/>
    <mergeCell ref="F19:G19"/>
    <mergeCell ref="B29:H29"/>
    <mergeCell ref="B30:D31"/>
    <mergeCell ref="B15:C15"/>
    <mergeCell ref="B16:C16"/>
    <mergeCell ref="B17:C17"/>
    <mergeCell ref="B18:C18"/>
    <mergeCell ref="B20:C20"/>
    <mergeCell ref="B19:C19"/>
    <mergeCell ref="B27:C27"/>
    <mergeCell ref="F20:G20"/>
    <mergeCell ref="F10:G10"/>
    <mergeCell ref="F11:G11"/>
    <mergeCell ref="B10:C10"/>
    <mergeCell ref="J2:K5"/>
    <mergeCell ref="J7:K8"/>
    <mergeCell ref="B2:D5"/>
    <mergeCell ref="B7:D8"/>
    <mergeCell ref="F2:H5"/>
    <mergeCell ref="F7:H8"/>
    <mergeCell ref="B11:C11"/>
  </mergeCells>
  <hyperlinks>
    <hyperlink ref="J11" location="'5_ALUCHE'!A1" display="ATR 5_ALUCHE" xr:uid="{DE13039D-8104-4D1E-AD85-963EE2748A1E}"/>
    <hyperlink ref="J12" location="'6_FUENCARRAL'!A1" display="ATR 6_FUENCARRAL" xr:uid="{A4FC20CF-7183-47F1-B42A-E7A2DA4C3822}"/>
    <hyperlink ref="J13" location="'7_SACEDAL'!A1" display="ATR 7_SACEDAL" xr:uid="{AAC6FF08-4138-44FE-B708-739EFE059FBC}"/>
    <hyperlink ref="J14" location="'8_LAGUNA'!A1" display="ATR 8_LAGUNA" xr:uid="{74C9EE85-A9FD-4B36-8E38-BC139700A0BB}"/>
    <hyperlink ref="J15" location="'9.1_HORTALEZA'!A1" display="ATR 9.1_HORTALEZA" xr:uid="{7C7E629A-2B2E-4AEF-9D8B-9A5E4A8B375B}"/>
    <hyperlink ref="J16" location="'9.4_HORTALEZA'!A1" display="ATR 9.4_HORTALEZA" xr:uid="{9722A579-493A-45F4-A6BB-6AF135ADA5C1}"/>
    <hyperlink ref="J17" location="'11_LORANCA'!A1" display="ATR 11_LORANCA" xr:uid="{C16A9EDB-C3F5-4FD7-953F-CA9577DBC836}"/>
    <hyperlink ref="J18" location="'12_VALDECARROS'!A1" display="ATR 12_VALDECARROS" xr:uid="{4929ECB6-64CC-4600-B753-4902EA641FB6}"/>
    <hyperlink ref="J19" location="COCH_PTA_ARGANDA!A1" display="ATR COCHERAS_PTA_ARGANDA" xr:uid="{720672E7-C729-4865-9ED5-9924A622AF88}"/>
    <hyperlink ref="B11" location="'5_ALUCHE'!A1" display="5_ALUCHE" xr:uid="{7B6F1D83-8933-4903-9D38-9A7A1B20E27B}"/>
    <hyperlink ref="B12" location="'6_FUENCARRAL'!A1" display="6_FUENCARRAL" xr:uid="{A9527381-F2A9-48D2-83E7-813A6A915B0E}"/>
    <hyperlink ref="B13" location="'7_SACEDAL'!A1" display="7_SACEDAL" xr:uid="{B6E59360-0774-4504-9345-8864A948574E}"/>
    <hyperlink ref="B14" location="'8_LAGUNA'!A1" display="8_LAGUNA" xr:uid="{9735E040-6EA5-41B1-9266-4BA5FD2E1E82}"/>
    <hyperlink ref="B15" location="'9.1_HORTALEZA'!A1" display="9.1_HORTALEZA" xr:uid="{8FC10295-A69D-45FB-90B7-42BE1CF8DEAF}"/>
    <hyperlink ref="B16" location="'9.4_HORTALEZA'!A1" display="9.4_HORTALEZA" xr:uid="{7B47D1B3-E661-41FA-8127-00794958F440}"/>
    <hyperlink ref="B17" location="'11_LORANCA'!A1" display="11_LORANCA" xr:uid="{E0478B97-B4DD-4B61-8643-F1A15FB1F7BA}"/>
    <hyperlink ref="B18" location="'12_VALDECARROS'!A1" display="12_VALDECARROS" xr:uid="{44AD21D7-CE3E-4BC6-96A6-FFCDEA6BED4A}"/>
    <hyperlink ref="B19" location="COCH_PTA_ARGANDA!A1" display="COCHERAS_PTA_ARGANDA" xr:uid="{BD3CC029-C470-4A82-894E-667937053D5E}"/>
    <hyperlink ref="F11" location="'5_ALUCHE'!A1" display="5_ALUCHE" xr:uid="{0A3AAF5E-10D6-4F16-B6DF-9E3A3798A83F}"/>
    <hyperlink ref="F12" location="'6_FUENCARRAL'!A1" display="6_FUENCARRAL" xr:uid="{9ADA9897-57F5-446B-A0B3-854649A833AB}"/>
    <hyperlink ref="F13" location="'7_SACEDAL'!A1" display="7_SACEDAL" xr:uid="{30F966EC-8F98-4F65-B9C7-F26B767F6A17}"/>
    <hyperlink ref="F14" location="'8_LAGUNA'!A1" display="8_LAGUNA" xr:uid="{19515B19-F8F6-4BF3-9A41-5BD193432B01}"/>
    <hyperlink ref="F15" location="'9.1_HORTALEZA'!A1" display="9.1_HORTALEZA" xr:uid="{CC76B73B-3492-49C8-B9C2-96BD0219EB65}"/>
    <hyperlink ref="F16" location="'9.4_HORTALEZA'!A1" display="9.4_HORTALEZA" xr:uid="{C3D6FB0B-6CEF-42BD-85A7-D6C0D4551AF1}"/>
    <hyperlink ref="F17" location="'11_LORANCA'!A1" display="11_LORANCA" xr:uid="{FF9173F2-EA9E-41E4-91B5-84581D97CBAA}"/>
    <hyperlink ref="F18" location="'12_VALDECARROS'!A1" display="12_VALDECARROS" xr:uid="{2F5388D8-E556-4E4C-9C2E-0C93098DEEE9}"/>
    <hyperlink ref="F19" location="COCH_PTA_ARGANDA!A1" display="COCHERAS_PTA_ARGANDA" xr:uid="{F6F17B43-C859-4216-BED0-8B3239D1C698}"/>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C33D3-C552-4A6D-B882-741124055E1B}">
  <dimension ref="A3:U70"/>
  <sheetViews>
    <sheetView showGridLines="0" topLeftCell="A5" zoomScale="70" zoomScaleNormal="70" workbookViewId="0">
      <selection activeCell="I21" sqref="I21"/>
    </sheetView>
  </sheetViews>
  <sheetFormatPr baseColWidth="10" defaultColWidth="11.54296875" defaultRowHeight="14.5" x14ac:dyDescent="0.35"/>
  <cols>
    <col min="1" max="1" width="8" style="1" customWidth="1"/>
    <col min="2" max="2" width="3" style="1" bestFit="1" customWidth="1"/>
    <col min="3" max="3" width="49.54296875" style="1" customWidth="1"/>
    <col min="4" max="4" width="18.90625" style="1" customWidth="1"/>
    <col min="5" max="5" width="51.08984375" style="1" customWidth="1"/>
    <col min="6" max="6" width="13.54296875" style="1" bestFit="1" customWidth="1"/>
    <col min="7" max="7" width="14.90625" style="1" bestFit="1" customWidth="1"/>
    <col min="8" max="9" width="11.54296875" style="1"/>
    <col min="10" max="10" width="3.453125" style="1" bestFit="1" customWidth="1"/>
    <col min="11" max="11" width="48.90625" style="1" bestFit="1" customWidth="1"/>
    <col min="12" max="12" width="19.453125" style="1" bestFit="1" customWidth="1"/>
    <col min="13" max="13" width="22.453125" style="1" customWidth="1"/>
    <col min="14" max="14" width="16" style="1" bestFit="1" customWidth="1"/>
    <col min="15" max="15" width="14.453125" style="1" bestFit="1" customWidth="1"/>
    <col min="16" max="16384" width="11.54296875" style="1"/>
  </cols>
  <sheetData>
    <row r="3" spans="1:21" ht="14.4" customHeight="1" x14ac:dyDescent="0.35">
      <c r="D3" s="201" t="s">
        <v>124</v>
      </c>
      <c r="E3" s="202"/>
      <c r="F3" s="202"/>
      <c r="G3" s="202"/>
      <c r="H3" s="202"/>
      <c r="I3" s="202"/>
      <c r="J3" s="202"/>
      <c r="K3" s="202"/>
      <c r="N3" s="23"/>
    </row>
    <row r="4" spans="1:21" ht="14.4" customHeight="1" x14ac:dyDescent="0.35">
      <c r="D4" s="201"/>
      <c r="E4" s="202"/>
      <c r="F4" s="202"/>
      <c r="G4" s="202"/>
      <c r="H4" s="202"/>
      <c r="I4" s="202"/>
      <c r="J4" s="202"/>
      <c r="K4" s="202"/>
      <c r="N4" s="23"/>
    </row>
    <row r="5" spans="1:21" ht="14.4" customHeight="1" x14ac:dyDescent="0.35">
      <c r="D5" s="201"/>
      <c r="E5" s="202"/>
      <c r="F5" s="202"/>
      <c r="G5" s="202"/>
      <c r="H5" s="202"/>
      <c r="I5" s="202"/>
      <c r="J5" s="202"/>
      <c r="K5" s="202"/>
      <c r="N5" s="23"/>
    </row>
    <row r="6" spans="1:21" ht="14.4" customHeight="1" x14ac:dyDescent="0.35">
      <c r="D6" s="201"/>
      <c r="E6" s="202"/>
      <c r="F6" s="202"/>
      <c r="G6" s="202"/>
      <c r="H6" s="202"/>
      <c r="I6" s="202"/>
      <c r="J6" s="202"/>
      <c r="K6" s="202"/>
      <c r="N6" s="23"/>
    </row>
    <row r="7" spans="1:21" ht="14.4" customHeight="1" x14ac:dyDescent="0.35">
      <c r="N7" s="23"/>
    </row>
    <row r="8" spans="1:21" ht="14.4" customHeight="1" x14ac:dyDescent="0.35">
      <c r="N8" s="23"/>
    </row>
    <row r="9" spans="1:21" ht="17.5" x14ac:dyDescent="0.35">
      <c r="A9" s="203"/>
      <c r="B9" s="203"/>
      <c r="C9" s="203"/>
      <c r="D9" s="203"/>
      <c r="E9" s="203"/>
      <c r="F9" s="203"/>
      <c r="G9" s="203"/>
      <c r="H9" s="203"/>
      <c r="I9" s="203"/>
      <c r="J9" s="203"/>
      <c r="K9" s="203"/>
      <c r="L9" s="203"/>
      <c r="M9" s="203"/>
      <c r="N9" s="203"/>
      <c r="O9" s="203"/>
    </row>
    <row r="10" spans="1:21" ht="15" thickBot="1" x14ac:dyDescent="0.4"/>
    <row r="11" spans="1:21" customFormat="1" ht="23.15" customHeight="1" thickBot="1" x14ac:dyDescent="0.4">
      <c r="C11" s="204" t="s">
        <v>16</v>
      </c>
      <c r="D11" s="205"/>
      <c r="E11" s="81"/>
      <c r="H11" s="45" t="s">
        <v>154</v>
      </c>
      <c r="I11" s="1"/>
      <c r="J11" s="1"/>
      <c r="K11" s="204" t="s">
        <v>15</v>
      </c>
      <c r="L11" s="205"/>
      <c r="M11" s="81"/>
      <c r="N11" s="1"/>
      <c r="O11" s="1"/>
      <c r="Q11" s="1"/>
      <c r="R11" s="1"/>
      <c r="S11" s="1"/>
      <c r="T11" s="1"/>
      <c r="U11" s="1"/>
    </row>
    <row r="12" spans="1:21" customFormat="1" x14ac:dyDescent="0.35">
      <c r="C12" s="1"/>
      <c r="D12" s="1"/>
      <c r="E12" s="82"/>
      <c r="F12" s="1"/>
      <c r="G12" s="1"/>
      <c r="I12" s="1"/>
      <c r="J12" s="1"/>
      <c r="K12" s="1"/>
      <c r="L12" s="1"/>
      <c r="M12" s="82"/>
      <c r="N12" s="1"/>
      <c r="O12" s="1"/>
      <c r="Q12" s="1"/>
      <c r="R12" s="1"/>
      <c r="S12" s="1"/>
      <c r="T12" s="1"/>
      <c r="U12" s="1"/>
    </row>
    <row r="13" spans="1:21" customFormat="1" ht="26" x14ac:dyDescent="0.35">
      <c r="C13" s="14" t="s">
        <v>119</v>
      </c>
      <c r="D13" s="14" t="s">
        <v>7</v>
      </c>
      <c r="E13" s="83"/>
      <c r="F13" s="1"/>
      <c r="G13" s="1"/>
      <c r="I13" s="1"/>
      <c r="J13" s="1"/>
      <c r="K13" s="14" t="s">
        <v>120</v>
      </c>
      <c r="L13" s="14" t="s">
        <v>17</v>
      </c>
      <c r="M13" s="83"/>
      <c r="N13" s="1"/>
      <c r="O13" s="1"/>
      <c r="Q13" s="1"/>
      <c r="R13" s="1"/>
      <c r="S13" s="1"/>
      <c r="T13" s="1"/>
      <c r="U13" s="1"/>
    </row>
    <row r="14" spans="1:21" customFormat="1" x14ac:dyDescent="0.35">
      <c r="C14" s="17" t="str">
        <f>A19</f>
        <v>1.- ATR</v>
      </c>
      <c r="D14" s="2">
        <f>G35</f>
        <v>12059.578236111114</v>
      </c>
      <c r="E14" s="61"/>
      <c r="F14" s="1"/>
      <c r="G14" s="1"/>
      <c r="I14" s="1"/>
      <c r="J14" s="1"/>
      <c r="K14" s="17" t="str">
        <f>I19</f>
        <v>1.- ATR</v>
      </c>
      <c r="L14" s="2">
        <f>O35</f>
        <v>0</v>
      </c>
      <c r="M14" s="84"/>
      <c r="N14" s="1"/>
      <c r="O14" s="1"/>
      <c r="Q14" s="1"/>
      <c r="R14" s="1"/>
      <c r="S14" s="1"/>
      <c r="T14" s="1"/>
      <c r="U14" s="1"/>
    </row>
    <row r="15" spans="1:21" customFormat="1" x14ac:dyDescent="0.35">
      <c r="C15" s="17" t="str">
        <f>A37</f>
        <v>2.- PERÍMETRO</v>
      </c>
      <c r="D15" s="3">
        <f>G61</f>
        <v>71447.949493750013</v>
      </c>
      <c r="E15" s="62"/>
      <c r="F15" s="1"/>
      <c r="G15" s="1"/>
      <c r="I15" s="1"/>
      <c r="J15" s="1"/>
      <c r="K15" s="17" t="str">
        <f>I37</f>
        <v>2.- PERÍMETRO</v>
      </c>
      <c r="L15" s="3">
        <f>O61</f>
        <v>0</v>
      </c>
      <c r="M15" s="62"/>
      <c r="N15" s="1"/>
      <c r="O15" s="1"/>
      <c r="Q15" s="1"/>
      <c r="R15" s="1"/>
      <c r="S15" s="1"/>
      <c r="T15" s="1"/>
      <c r="U15" s="1"/>
    </row>
    <row r="16" spans="1:21" customFormat="1" x14ac:dyDescent="0.35">
      <c r="C16" s="17" t="str">
        <f>A63</f>
        <v>3.- ACTUALIZACIÓN GRABADOR</v>
      </c>
      <c r="D16" s="3">
        <f>G68</f>
        <v>2268.5600000000004</v>
      </c>
      <c r="E16" s="62"/>
      <c r="F16" s="1"/>
      <c r="G16" s="1"/>
      <c r="I16" s="1"/>
      <c r="J16" s="1"/>
      <c r="K16" s="17" t="str">
        <f>I63</f>
        <v>3.- ACTUALIZACIÓN GRABADORES</v>
      </c>
      <c r="L16" s="3">
        <f>O68</f>
        <v>0</v>
      </c>
      <c r="M16" s="62"/>
      <c r="N16" s="1"/>
      <c r="O16" s="1"/>
      <c r="Q16" s="1"/>
      <c r="R16" s="1"/>
      <c r="S16" s="1"/>
      <c r="T16" s="1"/>
      <c r="U16" s="1"/>
    </row>
    <row r="17" spans="1:21" customFormat="1" ht="15.5" x14ac:dyDescent="0.35">
      <c r="C17" s="18" t="s">
        <v>8</v>
      </c>
      <c r="D17" s="21">
        <f>+SUM(D14:D16)</f>
        <v>85776.08772986113</v>
      </c>
      <c r="E17" s="63"/>
      <c r="F17" s="1"/>
      <c r="G17" s="1"/>
      <c r="I17" s="1"/>
      <c r="J17" s="1"/>
      <c r="K17" s="18" t="s">
        <v>8</v>
      </c>
      <c r="L17" s="21">
        <f>+SUM(L14:L16)</f>
        <v>0</v>
      </c>
      <c r="M17" s="63"/>
      <c r="N17" s="1"/>
      <c r="O17" s="1"/>
      <c r="Q17" s="1"/>
      <c r="R17" s="1"/>
      <c r="S17" s="1"/>
      <c r="T17" s="1"/>
      <c r="U17" s="1"/>
    </row>
    <row r="19" spans="1:21" x14ac:dyDescent="0.35">
      <c r="A19" s="198" t="s">
        <v>69</v>
      </c>
      <c r="B19" s="199"/>
      <c r="C19" s="200"/>
      <c r="D19" s="4"/>
      <c r="E19" s="4"/>
      <c r="F19" s="4"/>
      <c r="G19" s="5"/>
      <c r="I19" s="198" t="s">
        <v>69</v>
      </c>
      <c r="J19" s="199"/>
      <c r="K19" s="200"/>
      <c r="L19" s="87"/>
      <c r="M19" s="87"/>
      <c r="N19" s="4"/>
      <c r="O19" s="4"/>
    </row>
    <row r="20" spans="1:21" x14ac:dyDescent="0.35">
      <c r="A20" s="206" t="s">
        <v>0</v>
      </c>
      <c r="B20" s="207"/>
      <c r="C20" s="12" t="s">
        <v>13</v>
      </c>
      <c r="D20" s="12" t="s">
        <v>14</v>
      </c>
      <c r="E20" s="12" t="s">
        <v>256</v>
      </c>
      <c r="F20" s="12" t="s">
        <v>2</v>
      </c>
      <c r="G20" s="13" t="s">
        <v>7</v>
      </c>
      <c r="I20" s="197" t="s">
        <v>0</v>
      </c>
      <c r="J20" s="197"/>
      <c r="K20" s="12" t="s">
        <v>13</v>
      </c>
      <c r="L20" s="12" t="s">
        <v>14</v>
      </c>
      <c r="M20" s="12" t="s">
        <v>256</v>
      </c>
      <c r="N20" s="12" t="s">
        <v>2</v>
      </c>
      <c r="O20" s="13" t="s">
        <v>7</v>
      </c>
    </row>
    <row r="21" spans="1:21" ht="125" x14ac:dyDescent="0.35">
      <c r="A21" s="71">
        <v>2</v>
      </c>
      <c r="B21" s="72" t="s">
        <v>3</v>
      </c>
      <c r="C21" s="73" t="s">
        <v>72</v>
      </c>
      <c r="D21" s="72" t="str">
        <f>IF(C21&lt;&gt;"",VLOOKUP(C21,Preciario!$A$2:$D$66,2,FALSE),"")</f>
        <v>P3265LVE</v>
      </c>
      <c r="E21" s="73" t="str">
        <f>IF(C21&lt;&gt;"",VLOOKUP(C21,Preciario!$A$2:$D$66,3,FALSE),"")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21" s="24">
        <f>IF(C21&lt;&gt;"",VLOOKUP(C21,Preciario!$A$2:$D$66,4,FALSE),"")</f>
        <v>749</v>
      </c>
      <c r="G21" s="24">
        <f t="shared" ref="G21:G34" si="0">A21*F21</f>
        <v>1498</v>
      </c>
      <c r="I21" s="16"/>
      <c r="J21" s="6" t="s">
        <v>3</v>
      </c>
      <c r="K21" s="15"/>
      <c r="L21" s="15"/>
      <c r="M21" s="15"/>
      <c r="N21" s="15"/>
      <c r="O21" s="7">
        <f t="shared" ref="O21:O34" si="1">+N21*I21</f>
        <v>0</v>
      </c>
    </row>
    <row r="22" spans="1:21" ht="62.5" x14ac:dyDescent="0.35">
      <c r="A22" s="71">
        <v>2</v>
      </c>
      <c r="B22" s="72" t="s">
        <v>3</v>
      </c>
      <c r="C22" s="73" t="s">
        <v>266</v>
      </c>
      <c r="D22" s="72" t="str">
        <f>IF(C22&lt;&gt;"",VLOOKUP(C22,Preciario!$A$2:$D$66,2,FALSE),"")</f>
        <v>T91B47</v>
      </c>
      <c r="E22" s="73" t="str">
        <f>IF(C22&lt;&gt;"",VLOOKUP(C22,Preciario!$A$2:$D$66,3,FALSE),"")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22" s="24">
        <f>IF(C22&lt;&gt;"",VLOOKUP(C22,Preciario!$A$2:$D$66,4,FALSE),"")</f>
        <v>89</v>
      </c>
      <c r="G22" s="24">
        <f t="shared" si="0"/>
        <v>178</v>
      </c>
      <c r="I22" s="16"/>
      <c r="J22" s="6" t="s">
        <v>3</v>
      </c>
      <c r="K22" s="15"/>
      <c r="L22" s="15"/>
      <c r="M22" s="15"/>
      <c r="N22" s="15"/>
      <c r="O22" s="7">
        <f t="shared" ref="O22" si="2">+N22*I22</f>
        <v>0</v>
      </c>
    </row>
    <row r="23" spans="1:21" x14ac:dyDescent="0.35">
      <c r="A23" s="71">
        <v>2</v>
      </c>
      <c r="B23" s="72" t="s">
        <v>3</v>
      </c>
      <c r="C23" s="73" t="s">
        <v>31</v>
      </c>
      <c r="D23" s="72" t="str">
        <f>IF(C23&lt;&gt;"",VLOOKUP(C23,Preciario!$A$2:$D$66,2,FALSE),"")</f>
        <v>LIC_CAM</v>
      </c>
      <c r="E23" s="73" t="str">
        <f>IF(C23&lt;&gt;"",VLOOKUP(C23,Preciario!$A$2:$D$66,3,FALSE),"")</f>
        <v xml:space="preserve">Licenciamiento de cámara en servidor </v>
      </c>
      <c r="F23" s="24">
        <f>IF(C23&lt;&gt;"",VLOOKUP(C23,Preciario!$A$2:$D$66,4,FALSE),"")</f>
        <v>159.05000000000001</v>
      </c>
      <c r="G23" s="24">
        <f t="shared" si="0"/>
        <v>318.10000000000002</v>
      </c>
      <c r="I23" s="16"/>
      <c r="J23" s="6" t="s">
        <v>3</v>
      </c>
      <c r="K23" s="15"/>
      <c r="L23" s="15"/>
      <c r="M23" s="15"/>
      <c r="N23" s="15"/>
      <c r="O23" s="7">
        <f t="shared" si="1"/>
        <v>0</v>
      </c>
    </row>
    <row r="24" spans="1:21" ht="112.5" x14ac:dyDescent="0.35">
      <c r="A24" s="71">
        <v>1</v>
      </c>
      <c r="B24" s="72" t="s">
        <v>3</v>
      </c>
      <c r="C24" s="73" t="s">
        <v>236</v>
      </c>
      <c r="D24" s="72" t="str">
        <f>IF(C24&lt;&gt;"",VLOOKUP(C24,Preciario!$A$2:$D$66,2,FALSE),"")</f>
        <v>IGS-5225-8P2S2X</v>
      </c>
      <c r="E24" s="73" t="str">
        <f>IF(C24&lt;&gt;"",VLOOKUP(C24,Preciario!$A$2:$D$66,3,FALSE),"")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24" s="24">
        <f>IF(C24&lt;&gt;"",VLOOKUP(C24,Preciario!$A$2:$D$66,4,FALSE),"")</f>
        <v>957.6</v>
      </c>
      <c r="G24" s="24">
        <f t="shared" si="0"/>
        <v>957.6</v>
      </c>
      <c r="I24" s="16"/>
      <c r="J24" s="6" t="s">
        <v>3</v>
      </c>
      <c r="K24" s="15"/>
      <c r="L24" s="15"/>
      <c r="M24" s="15"/>
      <c r="N24" s="15"/>
      <c r="O24" s="7">
        <f t="shared" si="1"/>
        <v>0</v>
      </c>
    </row>
    <row r="25" spans="1:21" ht="25" x14ac:dyDescent="0.35">
      <c r="A25" s="71">
        <v>2</v>
      </c>
      <c r="B25" s="72" t="s">
        <v>3</v>
      </c>
      <c r="C25" s="73" t="s">
        <v>243</v>
      </c>
      <c r="D25" s="72" t="str">
        <f>IF(C25&lt;&gt;"",VLOOKUP(C25,Preciario!$A$2:$D$66,2,FALSE),"")</f>
        <v>MTB-TSR2</v>
      </c>
      <c r="E25" s="73" t="str">
        <f>IF(C25&lt;&gt;"",VLOOKUP(C25,Preciario!$A$2:$D$66,3,FALSE),"")</f>
        <v>Módulo de fibra óptica 10GBASE-LR SFP+ de 1 puerto: 2 km (-40~75 grados C)</v>
      </c>
      <c r="F25" s="24">
        <f>IF(C25&lt;&gt;"",VLOOKUP(C25,Preciario!$A$2:$D$66,4,FALSE),"")</f>
        <v>104</v>
      </c>
      <c r="G25" s="24">
        <f t="shared" si="0"/>
        <v>208</v>
      </c>
      <c r="I25" s="16"/>
      <c r="J25" s="6" t="s">
        <v>3</v>
      </c>
      <c r="K25" s="15"/>
      <c r="L25" s="15"/>
      <c r="M25" s="15"/>
      <c r="N25" s="15"/>
      <c r="O25" s="7">
        <f t="shared" si="1"/>
        <v>0</v>
      </c>
    </row>
    <row r="26" spans="1:21" ht="150" x14ac:dyDescent="0.35">
      <c r="A26" s="71">
        <v>1</v>
      </c>
      <c r="B26" s="72" t="s">
        <v>3</v>
      </c>
      <c r="C26" s="73" t="s">
        <v>42</v>
      </c>
      <c r="D26" s="72" t="str">
        <f>IF(C26&lt;&gt;"",VLOOKUP(C26,Preciario!$A$2:$D$66,2,FALSE),"")</f>
        <v>AM60x40</v>
      </c>
      <c r="E26" s="73" t="str">
        <f>IF(C26&lt;&gt;"",VLOOKUP(C26,Preciario!$A$2:$D$66,3,FALSE),"")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26" s="24">
        <f>IF(C26&lt;&gt;"",VLOOKUP(C26,Preciario!$A$2:$D$66,4,FALSE),"")</f>
        <v>862.465236111114</v>
      </c>
      <c r="G26" s="24">
        <f t="shared" si="0"/>
        <v>862.465236111114</v>
      </c>
      <c r="I26" s="16"/>
      <c r="J26" s="6" t="s">
        <v>3</v>
      </c>
      <c r="K26" s="15"/>
      <c r="L26" s="15"/>
      <c r="M26" s="15"/>
      <c r="N26" s="15"/>
      <c r="O26" s="7">
        <f t="shared" si="1"/>
        <v>0</v>
      </c>
    </row>
    <row r="27" spans="1:21" ht="25" x14ac:dyDescent="0.35">
      <c r="A27" s="71">
        <v>100</v>
      </c>
      <c r="B27" s="72" t="s">
        <v>10</v>
      </c>
      <c r="C27" s="73" t="s">
        <v>273</v>
      </c>
      <c r="D27" s="72" t="str">
        <f>IF(C27&lt;&gt;"",VLOOKUP(C27,Preciario!$A$2:$D$66,2,FALSE),"")</f>
        <v>TUBAC32</v>
      </c>
      <c r="E27" s="73" t="str">
        <f>IF(C27&lt;&gt;"",VLOOKUP(C27,Preciario!$A$2:$D$66,3,FALSE),"")</f>
        <v>Suministro e instalación de tubo acero M32, p.p mano de obra y accesorios</v>
      </c>
      <c r="F27" s="24">
        <f>IF(C27&lt;&gt;"",VLOOKUP(C27,Preciario!$A$2:$D$66,4,FALSE),"")</f>
        <v>24.78</v>
      </c>
      <c r="G27" s="24">
        <f t="shared" si="0"/>
        <v>2478</v>
      </c>
      <c r="I27" s="16"/>
      <c r="J27" s="6" t="s">
        <v>10</v>
      </c>
      <c r="K27" s="15"/>
      <c r="L27" s="15"/>
      <c r="M27" s="15"/>
      <c r="N27" s="15"/>
      <c r="O27" s="7">
        <f t="shared" si="1"/>
        <v>0</v>
      </c>
    </row>
    <row r="28" spans="1:21" ht="25" x14ac:dyDescent="0.35">
      <c r="A28" s="71">
        <v>130</v>
      </c>
      <c r="B28" s="72" t="s">
        <v>10</v>
      </c>
      <c r="C28" s="73" t="s">
        <v>275</v>
      </c>
      <c r="D28" s="72" t="str">
        <f>IF(C28&lt;&gt;"",VLOOKUP(C28,Preciario!$A$2:$D$66,2,FALSE),"")</f>
        <v>C_ELE_3X2,5</v>
      </c>
      <c r="E28" s="73" t="str">
        <f>IF(C28&lt;&gt;"",VLOOKUP(C28,Preciario!$A$2:$D$66,3,FALSE),"")</f>
        <v>Suministro e instalación de manguera exterior RZ1-K 3x2,5mm</v>
      </c>
      <c r="F28" s="24">
        <f>IF(C28&lt;&gt;"",VLOOKUP(C28,Preciario!$A$2:$D$66,4,FALSE),"")</f>
        <v>4</v>
      </c>
      <c r="G28" s="24">
        <f t="shared" si="0"/>
        <v>520</v>
      </c>
      <c r="I28" s="16"/>
      <c r="J28" s="6" t="s">
        <v>10</v>
      </c>
      <c r="K28" s="15"/>
      <c r="L28" s="15"/>
      <c r="M28" s="15"/>
      <c r="N28" s="15"/>
      <c r="O28" s="7">
        <f t="shared" si="1"/>
        <v>0</v>
      </c>
    </row>
    <row r="29" spans="1:21" ht="62.5" x14ac:dyDescent="0.35">
      <c r="A29" s="71">
        <v>200</v>
      </c>
      <c r="B29" s="72" t="s">
        <v>10</v>
      </c>
      <c r="C29" s="73" t="s">
        <v>277</v>
      </c>
      <c r="D29" s="72" t="str">
        <f>IF(C29&lt;&gt;"",VLOOKUP(C29,Preciario!$A$2:$D$66,2,FALSE),"")</f>
        <v>FTP_CAT6A/CAT7</v>
      </c>
      <c r="E29" s="73" t="str">
        <f>IF(C29&lt;&gt;"",VLOOKUP(C29,Preciario!$A$2:$D$66,3,FALSE),"")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29" s="24">
        <f>IF(C29&lt;&gt;"",VLOOKUP(C29,Preciario!$A$2:$D$66,4,FALSE),"")</f>
        <v>4.8</v>
      </c>
      <c r="G29" s="24">
        <f t="shared" si="0"/>
        <v>960</v>
      </c>
      <c r="I29" s="16"/>
      <c r="J29" s="6" t="s">
        <v>10</v>
      </c>
      <c r="K29" s="15"/>
      <c r="L29" s="15"/>
      <c r="M29" s="15"/>
      <c r="N29" s="15"/>
      <c r="O29" s="7">
        <f t="shared" si="1"/>
        <v>0</v>
      </c>
    </row>
    <row r="30" spans="1:21" ht="50" x14ac:dyDescent="0.35">
      <c r="A30" s="71">
        <v>130</v>
      </c>
      <c r="B30" s="72" t="s">
        <v>10</v>
      </c>
      <c r="C30" s="73" t="s">
        <v>278</v>
      </c>
      <c r="D30" s="72" t="str">
        <f>IF(C30&lt;&gt;"",VLOOKUP(C30,Preciario!$A$2:$D$66,2,FALSE),"")</f>
        <v>FO_OS2</v>
      </c>
      <c r="E30" s="73" t="str">
        <f>IF(C30&lt;&gt;"",VLOOKUP(C30,Preciario!$A$2:$D$66,3,FALSE),"")</f>
        <v xml:space="preserve">Suministro e instalación de manguera de fibra óptica de exterior con cubierta de PE protección UV, malla-chapa antiroedor, CPR, 12 FO SM, de tipo OS2 pp. Conexionado fusiones y certificación </v>
      </c>
      <c r="F30" s="24">
        <f>IF(C30&lt;&gt;"",VLOOKUP(C30,Preciario!$A$2:$D$66,4,FALSE),"")</f>
        <v>5.2</v>
      </c>
      <c r="G30" s="24">
        <f t="shared" si="0"/>
        <v>676</v>
      </c>
      <c r="I30" s="16"/>
      <c r="J30" s="6" t="s">
        <v>10</v>
      </c>
      <c r="K30" s="15"/>
      <c r="L30" s="15"/>
      <c r="M30" s="15"/>
      <c r="N30" s="15"/>
      <c r="O30" s="7">
        <f t="shared" si="1"/>
        <v>0</v>
      </c>
    </row>
    <row r="31" spans="1:21" ht="75" x14ac:dyDescent="0.35">
      <c r="A31" s="71">
        <v>21</v>
      </c>
      <c r="B31" s="72" t="s">
        <v>10</v>
      </c>
      <c r="C31" s="73" t="s">
        <v>228</v>
      </c>
      <c r="D31" s="72" t="str">
        <f>IF(C31&lt;&gt;"",VLOOKUP(C31,Preciario!$A$2:$D$66,2,FALSE),"")</f>
        <v>Zanja</v>
      </c>
      <c r="E31" s="73" t="str">
        <f>IF(C31&lt;&gt;"",VLOOKUP(C31,Preciario!$A$2:$D$66,3,FALSE),"")</f>
        <v>Construcción de zanja, incluyendo la excavación, la carga y el transporte de las tierras a vertedero autorizado, el suministro y colocación de 4 tubos de PVC corrugado, para instalaciones, relleno de la misma con material recuperado, y acabado superficial con hormigón en masa o asfalto; i/ p.p.medios auxiliares.</v>
      </c>
      <c r="F31" s="24">
        <f>IF(C31&lt;&gt;"",VLOOKUP(C31,Preciario!$A$2:$D$66,4,FALSE),"")</f>
        <v>78.930000000000007</v>
      </c>
      <c r="G31" s="24">
        <f t="shared" si="0"/>
        <v>1657.5300000000002</v>
      </c>
      <c r="I31" s="16"/>
      <c r="J31" s="6" t="s">
        <v>10</v>
      </c>
      <c r="K31" s="15"/>
      <c r="L31" s="15"/>
      <c r="M31" s="15"/>
      <c r="N31" s="15"/>
      <c r="O31" s="7">
        <f t="shared" si="1"/>
        <v>0</v>
      </c>
    </row>
    <row r="32" spans="1:21" ht="37.5" x14ac:dyDescent="0.35">
      <c r="A32" s="71">
        <v>2</v>
      </c>
      <c r="B32" s="72" t="s">
        <v>3</v>
      </c>
      <c r="C32" s="73" t="s">
        <v>233</v>
      </c>
      <c r="D32" s="72" t="str">
        <f>IF(C32&lt;&gt;"",VLOOKUP(C32,Preciario!$A$2:$D$66,2,FALSE),"")</f>
        <v>Arqueta</v>
      </c>
      <c r="E32" s="73" t="str">
        <f>IF(C32&lt;&gt;"",VLOOKUP(C32,Preciario!$A$2:$D$66,3,FALSE),"")</f>
        <v>Arqueta de registro construida a base de ladrillo macizo de 1/2 pie de espesor, enfoscada y bruñida interiormente, con tapa metálica con cerco y tirador.</v>
      </c>
      <c r="F32" s="24">
        <f>IF(C32&lt;&gt;"",VLOOKUP(C32,Preciario!$A$2:$D$66,4,FALSE),"")</f>
        <v>325.8</v>
      </c>
      <c r="G32" s="24">
        <f t="shared" si="0"/>
        <v>651.6</v>
      </c>
      <c r="I32" s="16"/>
      <c r="J32" s="6" t="s">
        <v>3</v>
      </c>
      <c r="K32" s="15"/>
      <c r="L32" s="15"/>
      <c r="M32" s="15"/>
      <c r="N32" s="15"/>
      <c r="O32" s="7">
        <f t="shared" si="1"/>
        <v>0</v>
      </c>
    </row>
    <row r="33" spans="1:15" ht="25" x14ac:dyDescent="0.35">
      <c r="A33" s="71">
        <f>'Presupuesto Total'!D32</f>
        <v>1</v>
      </c>
      <c r="B33" s="72" t="s">
        <v>11</v>
      </c>
      <c r="C33" s="73" t="s">
        <v>163</v>
      </c>
      <c r="D33" s="72" t="s">
        <v>164</v>
      </c>
      <c r="E33" s="73" t="str">
        <f>IF(C33&lt;&gt;"",VLOOKUP(C33,Preciario!$A$2:$D$66,3,FALSE),"")</f>
        <v>Partida ayudas auxiliares en equipamiento y mano de obra en sistemas de energía</v>
      </c>
      <c r="F33" s="24">
        <v>547.14150000000006</v>
      </c>
      <c r="G33" s="24">
        <f t="shared" si="0"/>
        <v>547.14150000000006</v>
      </c>
      <c r="I33" s="16"/>
      <c r="J33" s="6" t="s">
        <v>11</v>
      </c>
      <c r="K33" s="15"/>
      <c r="L33" s="15"/>
      <c r="M33" s="15"/>
      <c r="N33" s="15"/>
      <c r="O33" s="7">
        <f t="shared" si="1"/>
        <v>0</v>
      </c>
    </row>
    <row r="34" spans="1:15" ht="25" x14ac:dyDescent="0.35">
      <c r="A34" s="71">
        <f>'Presupuesto Total'!D33</f>
        <v>1</v>
      </c>
      <c r="B34" s="72" t="s">
        <v>11</v>
      </c>
      <c r="C34" s="73" t="s">
        <v>185</v>
      </c>
      <c r="D34" s="158" t="s">
        <v>162</v>
      </c>
      <c r="E34" s="73" t="str">
        <f>IF(C34&lt;&gt;"",VLOOKUP(C34,Preciario!$A$2:$D$66,3,FALSE),"")</f>
        <v>Partida ayudas auxiliares en equipamiento y mano de obra en albañilería</v>
      </c>
      <c r="F34" s="24">
        <v>547.14150000000006</v>
      </c>
      <c r="G34" s="24">
        <f t="shared" si="0"/>
        <v>547.14150000000006</v>
      </c>
      <c r="I34" s="16"/>
      <c r="J34" s="6" t="s">
        <v>11</v>
      </c>
      <c r="K34" s="15"/>
      <c r="L34" s="15"/>
      <c r="M34" s="15"/>
      <c r="N34" s="15"/>
      <c r="O34" s="7">
        <f t="shared" si="1"/>
        <v>0</v>
      </c>
    </row>
    <row r="35" spans="1:15" x14ac:dyDescent="0.35">
      <c r="A35" s="8"/>
      <c r="B35" s="8"/>
      <c r="C35" s="9"/>
      <c r="D35" s="9"/>
      <c r="E35" s="9"/>
      <c r="F35" s="19" t="s">
        <v>4</v>
      </c>
      <c r="G35" s="20">
        <f>SUM(G21:G34)</f>
        <v>12059.578236111114</v>
      </c>
      <c r="I35" s="8"/>
      <c r="J35" s="8"/>
      <c r="K35" s="9"/>
      <c r="L35" s="9"/>
      <c r="M35" s="9"/>
      <c r="N35" s="19" t="s">
        <v>4</v>
      </c>
      <c r="O35" s="20">
        <f>SUM(O21:O34)</f>
        <v>0</v>
      </c>
    </row>
    <row r="36" spans="1:15" x14ac:dyDescent="0.35">
      <c r="A36" s="10"/>
      <c r="B36" s="10"/>
      <c r="C36" s="11"/>
      <c r="D36" s="11"/>
      <c r="E36" s="11"/>
      <c r="F36" s="11"/>
      <c r="G36" s="11"/>
      <c r="I36" s="10"/>
      <c r="J36" s="10"/>
      <c r="K36" s="11"/>
      <c r="L36" s="11"/>
      <c r="M36" s="11"/>
      <c r="N36" s="11"/>
      <c r="O36" s="11"/>
    </row>
    <row r="37" spans="1:15" x14ac:dyDescent="0.35">
      <c r="A37" s="198" t="s">
        <v>70</v>
      </c>
      <c r="B37" s="199"/>
      <c r="C37" s="200"/>
      <c r="D37" s="4"/>
      <c r="E37" s="4"/>
      <c r="F37" s="4"/>
      <c r="G37" s="5"/>
      <c r="I37" s="198" t="s">
        <v>70</v>
      </c>
      <c r="J37" s="199"/>
      <c r="K37" s="200"/>
      <c r="L37" s="87"/>
      <c r="M37" s="87"/>
      <c r="N37" s="4"/>
      <c r="O37" s="4"/>
    </row>
    <row r="38" spans="1:15" x14ac:dyDescent="0.35">
      <c r="A38" s="197" t="s">
        <v>0</v>
      </c>
      <c r="B38" s="197"/>
      <c r="C38" s="12" t="s">
        <v>13</v>
      </c>
      <c r="D38" s="12" t="s">
        <v>14</v>
      </c>
      <c r="E38" s="12" t="s">
        <v>256</v>
      </c>
      <c r="F38" s="12" t="s">
        <v>2</v>
      </c>
      <c r="G38" s="13" t="s">
        <v>7</v>
      </c>
      <c r="I38" s="197" t="s">
        <v>0</v>
      </c>
      <c r="J38" s="197"/>
      <c r="K38" s="12" t="s">
        <v>13</v>
      </c>
      <c r="L38" s="12" t="s">
        <v>14</v>
      </c>
      <c r="M38" s="12" t="s">
        <v>256</v>
      </c>
      <c r="N38" s="12" t="s">
        <v>2</v>
      </c>
      <c r="O38" s="13" t="s">
        <v>7</v>
      </c>
    </row>
    <row r="39" spans="1:15" ht="50" x14ac:dyDescent="0.35">
      <c r="A39" s="71">
        <v>4</v>
      </c>
      <c r="B39" s="72" t="s">
        <v>3</v>
      </c>
      <c r="C39" s="73" t="s">
        <v>28</v>
      </c>
      <c r="D39" s="72" t="str">
        <f>IF(C39&lt;&gt;"",VLOOKUP(C39,Preciario!$A$2:$D$66,2,FALSE),"")</f>
        <v>BAC6MC</v>
      </c>
      <c r="E39" s="73" t="str">
        <f>IF(C39&lt;&gt;"",VLOOKUP(C39,Preciario!$A$2:$D$66,3,FALSE),"")</f>
        <v>Báculos abatibles 6m acero inoxidable para cámaras. Suministro, instalación de báculos cilíndricos (154mm x 2mm) de altura 6m en acero inoxidable incluida cimentación en hormigon para baculo 60x60x60</v>
      </c>
      <c r="F39" s="24">
        <f>IF(C39&lt;&gt;"",VLOOKUP(C39,Preciario!$A$2:$D$66,4,FALSE),"")</f>
        <v>720</v>
      </c>
      <c r="G39" s="24">
        <f t="shared" ref="G39:G60" si="3">A39*F39</f>
        <v>2880</v>
      </c>
      <c r="I39" s="16"/>
      <c r="J39" s="6" t="s">
        <v>3</v>
      </c>
      <c r="K39" s="15"/>
      <c r="L39" s="15"/>
      <c r="M39" s="15"/>
      <c r="N39" s="15"/>
      <c r="O39" s="7">
        <f t="shared" ref="O39:O60" si="4">+N39*I39</f>
        <v>0</v>
      </c>
    </row>
    <row r="40" spans="1:15" ht="25" x14ac:dyDescent="0.35">
      <c r="A40" s="71">
        <v>1</v>
      </c>
      <c r="B40" s="72" t="s">
        <v>3</v>
      </c>
      <c r="C40" s="73" t="s">
        <v>29</v>
      </c>
      <c r="D40" s="72" t="str">
        <f>IF(C40&lt;&gt;"",VLOOKUP(C40,Preciario!$A$2:$D$66,2,FALSE),"")</f>
        <v>BACULO</v>
      </c>
      <c r="E40" s="73" t="str">
        <f>IF(C40&lt;&gt;"",VLOOKUP(C40,Preciario!$A$2:$D$66,3,FALSE),"")</f>
        <v xml:space="preserve">Báculo de 4 metros de altura para la colocación de una cámara de videovigilancia. Incluye el soporte de suelo. </v>
      </c>
      <c r="F40" s="24">
        <f>IF(C40&lt;&gt;"",VLOOKUP(C40,Preciario!$A$2:$D$66,4,FALSE),"")</f>
        <v>330</v>
      </c>
      <c r="G40" s="24">
        <f t="shared" si="3"/>
        <v>330</v>
      </c>
      <c r="I40" s="16"/>
      <c r="J40" s="6" t="s">
        <v>3</v>
      </c>
      <c r="K40" s="15"/>
      <c r="L40" s="15"/>
      <c r="M40" s="15"/>
      <c r="N40" s="15"/>
      <c r="O40" s="7">
        <f t="shared" ref="O40" si="5">+N40*I40</f>
        <v>0</v>
      </c>
    </row>
    <row r="41" spans="1:15" ht="125" x14ac:dyDescent="0.35">
      <c r="A41" s="71">
        <v>5</v>
      </c>
      <c r="B41" s="72" t="s">
        <v>3</v>
      </c>
      <c r="C41" s="73" t="s">
        <v>72</v>
      </c>
      <c r="D41" s="72" t="str">
        <f>IF(C41&lt;&gt;"",VLOOKUP(C41,Preciario!$A$2:$D$66,2,FALSE),"")</f>
        <v>P3265LVE</v>
      </c>
      <c r="E41" s="73" t="str">
        <f>IF(C41&lt;&gt;"",VLOOKUP(C41,Preciario!$A$2:$D$66,3,FALSE),"")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41" s="24">
        <f>IF(C41&lt;&gt;"",VLOOKUP(C41,Preciario!$A$2:$D$66,4,FALSE),"")</f>
        <v>749</v>
      </c>
      <c r="G41" s="24">
        <f t="shared" si="3"/>
        <v>3745</v>
      </c>
      <c r="I41" s="16"/>
      <c r="J41" s="6" t="s">
        <v>3</v>
      </c>
      <c r="K41" s="15"/>
      <c r="L41" s="15"/>
      <c r="M41" s="15"/>
      <c r="N41" s="15"/>
      <c r="O41" s="7">
        <f t="shared" si="4"/>
        <v>0</v>
      </c>
    </row>
    <row r="42" spans="1:15" ht="50" x14ac:dyDescent="0.35">
      <c r="A42" s="71">
        <v>8</v>
      </c>
      <c r="B42" s="72" t="s">
        <v>3</v>
      </c>
      <c r="C42" s="73" t="s">
        <v>73</v>
      </c>
      <c r="D42" s="72" t="str">
        <f>IF(C42&lt;&gt;"",VLOOKUP(C42,Preciario!$A$2:$D$66,2,FALSE),"")</f>
        <v>Q1951-E</v>
      </c>
      <c r="E42" s="73" t="str">
        <f>IF(C42&lt;&gt;"",VLOOKUP(C42,Preciario!$A$2:$D$66,3,FALSE),"")</f>
        <v>Suministro y montaje de cámara IP térmica de alta sensibilidad para uso exterior con sensor de 384x288, la imagen puede ampliarse hasta 768x576, soporte y adaptador para montaje en báculo.</v>
      </c>
      <c r="F42" s="24">
        <f>IF(C42&lt;&gt;"",VLOOKUP(C42,Preciario!$A$2:$D$66,4,FALSE),"")</f>
        <v>2999</v>
      </c>
      <c r="G42" s="24">
        <f t="shared" si="3"/>
        <v>23992</v>
      </c>
      <c r="I42" s="16"/>
      <c r="J42" s="6" t="s">
        <v>3</v>
      </c>
      <c r="K42" s="15"/>
      <c r="L42" s="15"/>
      <c r="M42" s="15"/>
      <c r="N42" s="15"/>
      <c r="O42" s="7">
        <f t="shared" si="4"/>
        <v>0</v>
      </c>
    </row>
    <row r="43" spans="1:15" ht="62.5" x14ac:dyDescent="0.35">
      <c r="A43" s="71">
        <v>13</v>
      </c>
      <c r="B43" s="72" t="s">
        <v>3</v>
      </c>
      <c r="C43" s="73" t="s">
        <v>266</v>
      </c>
      <c r="D43" s="72" t="str">
        <f>IF(C43&lt;&gt;"",VLOOKUP(C43,Preciario!$A$2:$D$66,2,FALSE),"")</f>
        <v>T91B47</v>
      </c>
      <c r="E43" s="73" t="str">
        <f>IF(C43&lt;&gt;"",VLOOKUP(C43,Preciario!$A$2:$D$66,3,FALSE),"")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43" s="24">
        <f>IF(C43&lt;&gt;"",VLOOKUP(C43,Preciario!$A$2:$D$66,4,FALSE),"")</f>
        <v>89</v>
      </c>
      <c r="G43" s="24">
        <f t="shared" si="3"/>
        <v>1157</v>
      </c>
      <c r="I43" s="16"/>
      <c r="J43" s="6" t="s">
        <v>3</v>
      </c>
      <c r="K43" s="15"/>
      <c r="L43" s="15"/>
      <c r="M43" s="15"/>
      <c r="N43" s="15"/>
      <c r="O43" s="7">
        <f t="shared" ref="O43" si="6">+N43*I43</f>
        <v>0</v>
      </c>
    </row>
    <row r="44" spans="1:15" x14ac:dyDescent="0.35">
      <c r="A44" s="71">
        <v>13</v>
      </c>
      <c r="B44" s="72" t="s">
        <v>3</v>
      </c>
      <c r="C44" s="73" t="s">
        <v>31</v>
      </c>
      <c r="D44" s="72" t="str">
        <f>IF(C44&lt;&gt;"",VLOOKUP(C44,Preciario!$A$2:$D$66,2,FALSE),"")</f>
        <v>LIC_CAM</v>
      </c>
      <c r="E44" s="73" t="str">
        <f>IF(C44&lt;&gt;"",VLOOKUP(C44,Preciario!$A$2:$D$66,3,FALSE),"")</f>
        <v xml:space="preserve">Licenciamiento de cámara en servidor </v>
      </c>
      <c r="F44" s="24">
        <f>IF(C44&lt;&gt;"",VLOOKUP(C44,Preciario!$A$2:$D$66,4,FALSE),"")</f>
        <v>159.05000000000001</v>
      </c>
      <c r="G44" s="24">
        <f t="shared" si="3"/>
        <v>2067.65</v>
      </c>
      <c r="I44" s="16"/>
      <c r="J44" s="6" t="s">
        <v>3</v>
      </c>
      <c r="K44" s="15"/>
      <c r="L44" s="15"/>
      <c r="M44" s="15"/>
      <c r="N44" s="15"/>
      <c r="O44" s="7">
        <f t="shared" si="4"/>
        <v>0</v>
      </c>
    </row>
    <row r="45" spans="1:15" ht="87.5" x14ac:dyDescent="0.35">
      <c r="A45" s="71">
        <v>9</v>
      </c>
      <c r="B45" s="72" t="s">
        <v>3</v>
      </c>
      <c r="C45" s="73" t="s">
        <v>190</v>
      </c>
      <c r="D45" s="72" t="str">
        <f>IF(C45&lt;&gt;"",VLOOKUP(C45,Preciario!$A$2:$D$66,2,FALSE),"")</f>
        <v>DE.3001</v>
      </c>
      <c r="E45" s="73" t="str">
        <f>IF(C45&lt;&gt;"",VLOOKUP(C45,Preciario!$A$2:$D$66,3,FALSE),"")</f>
        <v xml:space="preserve">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 Incluida instalación y configuración. </v>
      </c>
      <c r="F45" s="24">
        <f>IF(C45&lt;&gt;"",VLOOKUP(C45,Preciario!$A$2:$D$66,4,FALSE),"")</f>
        <v>392</v>
      </c>
      <c r="G45" s="24">
        <f t="shared" si="3"/>
        <v>3528</v>
      </c>
      <c r="I45" s="16"/>
      <c r="J45" s="6" t="s">
        <v>3</v>
      </c>
      <c r="K45" s="15"/>
      <c r="L45" s="15"/>
      <c r="M45" s="15"/>
      <c r="N45" s="15"/>
      <c r="O45" s="7">
        <f t="shared" si="4"/>
        <v>0</v>
      </c>
    </row>
    <row r="46" spans="1:15" ht="50" x14ac:dyDescent="0.35">
      <c r="A46" s="71">
        <v>9</v>
      </c>
      <c r="B46" s="72" t="s">
        <v>3</v>
      </c>
      <c r="C46" s="73" t="s">
        <v>189</v>
      </c>
      <c r="D46" s="72" t="str">
        <f>IF(C46&lt;&gt;"",VLOOKUP(C46,Preciario!$A$2:$D$66,2,FALSE),"")</f>
        <v>ACAP PER_DEF</v>
      </c>
      <c r="E46" s="73" t="str">
        <f>IF(C46&lt;&gt;"",VLOOKUP(C46,Preciario!$A$2:$D$66,3,FALSE),"")</f>
        <v xml:space="preserve">Licencia de unidad única para AXIS Perimeter Defender, una aplicación de análisis de video escalable y flexible para vigilancia y protección perimetral. Incluida instalación y configuración. </v>
      </c>
      <c r="F46" s="24">
        <f>IF(C46&lt;&gt;"",VLOOKUP(C46,Preciario!$A$2:$D$66,4,FALSE),"")</f>
        <v>299</v>
      </c>
      <c r="G46" s="24">
        <f t="shared" si="3"/>
        <v>2691</v>
      </c>
      <c r="I46" s="16"/>
      <c r="J46" s="6" t="s">
        <v>3</v>
      </c>
      <c r="K46" s="15"/>
      <c r="L46" s="15"/>
      <c r="M46" s="15"/>
      <c r="N46" s="15"/>
      <c r="O46" s="7">
        <f t="shared" si="4"/>
        <v>0</v>
      </c>
    </row>
    <row r="47" spans="1:15" ht="112.5" x14ac:dyDescent="0.35">
      <c r="A47" s="71">
        <v>3</v>
      </c>
      <c r="B47" s="72" t="s">
        <v>3</v>
      </c>
      <c r="C47" s="73" t="s">
        <v>236</v>
      </c>
      <c r="D47" s="72" t="str">
        <f>IF(C47&lt;&gt;"",VLOOKUP(C47,Preciario!$A$2:$D$66,2,FALSE),"")</f>
        <v>IGS-5225-8P2S2X</v>
      </c>
      <c r="E47" s="73" t="str">
        <f>IF(C47&lt;&gt;"",VLOOKUP(C47,Preciario!$A$2:$D$66,3,FALSE),"")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47" s="24">
        <f>IF(C47&lt;&gt;"",VLOOKUP(C47,Preciario!$A$2:$D$66,4,FALSE),"")</f>
        <v>957.6</v>
      </c>
      <c r="G47" s="24">
        <f t="shared" si="3"/>
        <v>2872.8</v>
      </c>
      <c r="I47" s="16"/>
      <c r="J47" s="6" t="s">
        <v>3</v>
      </c>
      <c r="K47" s="15"/>
      <c r="L47" s="15"/>
      <c r="M47" s="15"/>
      <c r="N47" s="15"/>
      <c r="O47" s="7">
        <f t="shared" si="4"/>
        <v>0</v>
      </c>
    </row>
    <row r="48" spans="1:15" ht="37.5" x14ac:dyDescent="0.35">
      <c r="A48" s="71">
        <v>1</v>
      </c>
      <c r="B48" s="72" t="s">
        <v>3</v>
      </c>
      <c r="C48" s="73" t="s">
        <v>175</v>
      </c>
      <c r="D48" s="72" t="str">
        <f>IF(C48&lt;&gt;"",VLOOKUP(C48,Preciario!$A$2:$D$66,2,FALSE),"")</f>
        <v>AX_T8154</v>
      </c>
      <c r="E48" s="73" t="str">
        <f>IF(C48&lt;&gt;"",VLOOKUP(C48,Preciario!$A$2:$D$66,3,FALSE),"")</f>
        <v>Midspan SFP AXIS T8154 convertidor de medios, Plug and Play y con PoE. Fuente de alimentación integrada. Entrada de datos a través de SFP o RJ45. High PoE de 60 W.</v>
      </c>
      <c r="F48" s="24">
        <f>IF(C48&lt;&gt;"",VLOOKUP(C48,Preciario!$A$2:$D$66,4,FALSE),"")</f>
        <v>209</v>
      </c>
      <c r="G48" s="24">
        <f t="shared" si="3"/>
        <v>209</v>
      </c>
      <c r="I48" s="16"/>
      <c r="J48" s="6" t="s">
        <v>3</v>
      </c>
      <c r="K48" s="15"/>
      <c r="L48" s="15"/>
      <c r="M48" s="15"/>
      <c r="N48" s="15"/>
      <c r="O48" s="7">
        <f t="shared" si="4"/>
        <v>0</v>
      </c>
    </row>
    <row r="49" spans="1:15" ht="25" x14ac:dyDescent="0.35">
      <c r="A49" s="71">
        <v>8</v>
      </c>
      <c r="B49" s="72" t="s">
        <v>3</v>
      </c>
      <c r="C49" s="73" t="s">
        <v>243</v>
      </c>
      <c r="D49" s="72" t="str">
        <f>IF(C49&lt;&gt;"",VLOOKUP(C49,Preciario!$A$2:$D$66,2,FALSE),"")</f>
        <v>MTB-TSR2</v>
      </c>
      <c r="E49" s="73" t="str">
        <f>IF(C49&lt;&gt;"",VLOOKUP(C49,Preciario!$A$2:$D$66,3,FALSE),"")</f>
        <v>Módulo de fibra óptica 10GBASE-LR SFP+ de 1 puerto: 2 km (-40~75 grados C)</v>
      </c>
      <c r="F49" s="24">
        <f>IF(C49&lt;&gt;"",VLOOKUP(C49,Preciario!$A$2:$D$66,4,FALSE),"")</f>
        <v>104</v>
      </c>
      <c r="G49" s="24">
        <f t="shared" si="3"/>
        <v>832</v>
      </c>
      <c r="I49" s="16"/>
      <c r="J49" s="6" t="s">
        <v>3</v>
      </c>
      <c r="K49" s="15"/>
      <c r="L49" s="15"/>
      <c r="M49" s="15"/>
      <c r="N49" s="15"/>
      <c r="O49" s="7">
        <f t="shared" si="4"/>
        <v>0</v>
      </c>
    </row>
    <row r="50" spans="1:15" ht="150" x14ac:dyDescent="0.35">
      <c r="A50" s="71">
        <v>3</v>
      </c>
      <c r="B50" s="72" t="s">
        <v>3</v>
      </c>
      <c r="C50" s="73" t="s">
        <v>42</v>
      </c>
      <c r="D50" s="72" t="str">
        <f>IF(C50&lt;&gt;"",VLOOKUP(C50,Preciario!$A$2:$D$66,2,FALSE),"")</f>
        <v>AM60x40</v>
      </c>
      <c r="E50" s="73" t="str">
        <f>IF(C50&lt;&gt;"",VLOOKUP(C50,Preciario!$A$2:$D$66,3,FALSE),"")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50" s="24">
        <f>IF(C50&lt;&gt;"",VLOOKUP(C50,Preciario!$A$2:$D$66,4,FALSE),"")</f>
        <v>862.465236111114</v>
      </c>
      <c r="G50" s="24">
        <f t="shared" si="3"/>
        <v>2587.3957083333421</v>
      </c>
      <c r="I50" s="16"/>
      <c r="J50" s="6" t="s">
        <v>3</v>
      </c>
      <c r="K50" s="15"/>
      <c r="L50" s="15"/>
      <c r="M50" s="15"/>
      <c r="N50" s="15"/>
      <c r="O50" s="7">
        <f t="shared" si="4"/>
        <v>0</v>
      </c>
    </row>
    <row r="51" spans="1:15" ht="25" x14ac:dyDescent="0.35">
      <c r="A51" s="71">
        <v>100</v>
      </c>
      <c r="B51" s="72" t="s">
        <v>10</v>
      </c>
      <c r="C51" s="73" t="s">
        <v>273</v>
      </c>
      <c r="D51" s="72" t="str">
        <f>IF(C51&lt;&gt;"",VLOOKUP(C51,Preciario!$A$2:$D$66,2,FALSE),"")</f>
        <v>TUBAC32</v>
      </c>
      <c r="E51" s="73" t="str">
        <f>IF(C51&lt;&gt;"",VLOOKUP(C51,Preciario!$A$2:$D$66,3,FALSE),"")</f>
        <v>Suministro e instalación de tubo acero M32, p.p mano de obra y accesorios</v>
      </c>
      <c r="F51" s="24">
        <f>IF(C51&lt;&gt;"",VLOOKUP(C51,Preciario!$A$2:$D$66,4,FALSE),"")</f>
        <v>24.78</v>
      </c>
      <c r="G51" s="24">
        <f t="shared" si="3"/>
        <v>2478</v>
      </c>
      <c r="I51" s="16"/>
      <c r="J51" s="6" t="s">
        <v>10</v>
      </c>
      <c r="K51" s="15"/>
      <c r="L51" s="15"/>
      <c r="M51" s="15"/>
      <c r="N51" s="15"/>
      <c r="O51" s="7">
        <f t="shared" si="4"/>
        <v>0</v>
      </c>
    </row>
    <row r="52" spans="1:15" ht="25" x14ac:dyDescent="0.35">
      <c r="A52" s="71">
        <v>1250</v>
      </c>
      <c r="B52" s="72" t="s">
        <v>10</v>
      </c>
      <c r="C52" s="73" t="s">
        <v>275</v>
      </c>
      <c r="D52" s="72" t="str">
        <f>IF(C52&lt;&gt;"",VLOOKUP(C52,Preciario!$A$2:$D$66,2,FALSE),"")</f>
        <v>C_ELE_3X2,5</v>
      </c>
      <c r="E52" s="73" t="str">
        <f>IF(C52&lt;&gt;"",VLOOKUP(C52,Preciario!$A$2:$D$66,3,FALSE),"")</f>
        <v>Suministro e instalación de manguera exterior RZ1-K 3x2,5mm</v>
      </c>
      <c r="F52" s="24">
        <f>IF(C52&lt;&gt;"",VLOOKUP(C52,Preciario!$A$2:$D$66,4,FALSE),"")</f>
        <v>4</v>
      </c>
      <c r="G52" s="24">
        <f t="shared" si="3"/>
        <v>5000</v>
      </c>
      <c r="I52" s="16"/>
      <c r="J52" s="6" t="s">
        <v>10</v>
      </c>
      <c r="K52" s="15"/>
      <c r="L52" s="15"/>
      <c r="M52" s="15"/>
      <c r="N52" s="15"/>
      <c r="O52" s="7">
        <f t="shared" si="4"/>
        <v>0</v>
      </c>
    </row>
    <row r="53" spans="1:15" ht="62.5" x14ac:dyDescent="0.35">
      <c r="A53" s="71">
        <v>275</v>
      </c>
      <c r="B53" s="72" t="s">
        <v>10</v>
      </c>
      <c r="C53" s="73" t="s">
        <v>277</v>
      </c>
      <c r="D53" s="72" t="str">
        <f>IF(C53&lt;&gt;"",VLOOKUP(C53,Preciario!$A$2:$D$66,2,FALSE),"")</f>
        <v>FTP_CAT6A/CAT7</v>
      </c>
      <c r="E53" s="73" t="str">
        <f>IF(C53&lt;&gt;"",VLOOKUP(C53,Preciario!$A$2:$D$66,3,FALSE),"")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53" s="24">
        <f>IF(C53&lt;&gt;"",VLOOKUP(C53,Preciario!$A$2:$D$66,4,FALSE),"")</f>
        <v>4.8</v>
      </c>
      <c r="G53" s="24">
        <f t="shared" si="3"/>
        <v>1320</v>
      </c>
      <c r="I53" s="16"/>
      <c r="J53" s="6" t="s">
        <v>10</v>
      </c>
      <c r="K53" s="15"/>
      <c r="L53" s="15"/>
      <c r="M53" s="15"/>
      <c r="N53" s="15"/>
      <c r="O53" s="7">
        <f t="shared" si="4"/>
        <v>0</v>
      </c>
    </row>
    <row r="54" spans="1:15" ht="50" x14ac:dyDescent="0.35">
      <c r="A54" s="71">
        <v>1250</v>
      </c>
      <c r="B54" s="72" t="s">
        <v>10</v>
      </c>
      <c r="C54" s="73" t="s">
        <v>278</v>
      </c>
      <c r="D54" s="72" t="str">
        <f>IF(C54&lt;&gt;"",VLOOKUP(C54,Preciario!$A$2:$D$66,2,FALSE),"")</f>
        <v>FO_OS2</v>
      </c>
      <c r="E54" s="73" t="str">
        <f>IF(C54&lt;&gt;"",VLOOKUP(C54,Preciario!$A$2:$D$66,3,FALSE),"")</f>
        <v xml:space="preserve">Suministro e instalación de manguera de fibra óptica de exterior con cubierta de PE protección UV, malla-chapa antiroedor, CPR, 12 FO SM, de tipo OS2 pp. Conexionado fusiones y certificación </v>
      </c>
      <c r="F54" s="24">
        <f>IF(C54&lt;&gt;"",VLOOKUP(C54,Preciario!$A$2:$D$66,4,FALSE),"")</f>
        <v>5.2</v>
      </c>
      <c r="G54" s="24">
        <f t="shared" si="3"/>
        <v>6500</v>
      </c>
      <c r="I54" s="16"/>
      <c r="J54" s="6" t="s">
        <v>10</v>
      </c>
      <c r="K54" s="15"/>
      <c r="L54" s="15"/>
      <c r="M54" s="15"/>
      <c r="N54" s="15"/>
      <c r="O54" s="7">
        <f t="shared" si="4"/>
        <v>0</v>
      </c>
    </row>
    <row r="55" spans="1:15" ht="75" x14ac:dyDescent="0.35">
      <c r="A55" s="71">
        <v>5</v>
      </c>
      <c r="B55" s="72" t="s">
        <v>3</v>
      </c>
      <c r="C55" s="73" t="s">
        <v>234</v>
      </c>
      <c r="D55" s="72" t="str">
        <f>IF(C55&lt;&gt;"",VLOOKUP(C55,Preciario!$A$2:$D$66,2,FALSE),"")</f>
        <v>ZPT606060</v>
      </c>
      <c r="E55" s="73" t="str">
        <f>IF(C55&lt;&gt;"",VLOOKUP(C55,Preciario!$A$2:$D$66,3,FALSE),"")</f>
        <v>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v>
      </c>
      <c r="F55" s="24">
        <f>IF(C55&lt;&gt;"",VLOOKUP(C55,Preciario!$A$2:$D$66,4,FALSE),"")</f>
        <v>226.5</v>
      </c>
      <c r="G55" s="24">
        <f t="shared" si="3"/>
        <v>1132.5</v>
      </c>
      <c r="I55" s="16"/>
      <c r="J55" s="6" t="s">
        <v>3</v>
      </c>
      <c r="K55" s="15"/>
      <c r="L55" s="15"/>
      <c r="M55" s="15"/>
      <c r="N55" s="15"/>
      <c r="O55" s="7">
        <f>+N55*I55</f>
        <v>0</v>
      </c>
    </row>
    <row r="56" spans="1:15" ht="37.5" x14ac:dyDescent="0.35">
      <c r="A56" s="71">
        <v>2</v>
      </c>
      <c r="B56" s="72" t="s">
        <v>3</v>
      </c>
      <c r="C56" s="73" t="s">
        <v>286</v>
      </c>
      <c r="D56" s="72" t="str">
        <f>IF(C56&lt;&gt;"",VLOOKUP(C56,Preciario!$A$2:$D$66,2,FALSE),"")</f>
        <v>Río</v>
      </c>
      <c r="E56" s="73" t="str">
        <f>IF(C56&lt;&gt;"",VLOOKUP(C56,Preciario!$A$2:$D$66,3,FALSE),"")</f>
        <v>Módulo expansor de zonas, para ampliación de la capacidad de entradas de la central de intrusión ofertada. Incluida fuente de alimentación y batería</v>
      </c>
      <c r="F56" s="24">
        <f>IF(C56&lt;&gt;"",VLOOKUP(C56,Preciario!$A$2:$D$66,4,FALSE),"")</f>
        <v>350</v>
      </c>
      <c r="G56" s="24">
        <f t="shared" si="3"/>
        <v>700</v>
      </c>
      <c r="H56" s="49"/>
      <c r="I56" s="16"/>
      <c r="J56" s="6" t="s">
        <v>3</v>
      </c>
      <c r="K56" s="15"/>
      <c r="L56" s="15"/>
      <c r="M56" s="15"/>
      <c r="N56" s="15"/>
      <c r="O56" s="7">
        <f t="shared" ref="O56:O58" si="7">+N56*I56</f>
        <v>0</v>
      </c>
    </row>
    <row r="57" spans="1:15" ht="112.4" customHeight="1" x14ac:dyDescent="0.35">
      <c r="A57" s="71">
        <v>2</v>
      </c>
      <c r="B57" s="72" t="s">
        <v>3</v>
      </c>
      <c r="C57" s="73" t="s">
        <v>289</v>
      </c>
      <c r="D57" s="72" t="str">
        <f>IF(C57&lt;&gt;"",VLOOKUP(C57,Preciario!$A$2:$D$66,2,FALSE),"")</f>
        <v>MOXA Iologik E1214</v>
      </c>
      <c r="E57" s="73" t="str">
        <f>IF(C57&lt;&gt;"",VLOOKUP(C57,Preciario!$A$2:$D$66,3,FALSE),"")</f>
        <v>Módulo de E/S digitales Ethernet. Seis puertos de entrada digital y 6 puertos de salida digital mediante Relé. Entradas digitales: 6 canales. Relés: 6 canales. Aislamiento: 3k VDC o 2k Vrms. Tipo de sensor: contacto húmedo (NPN o PNP), contacto seco. Modo I/O: DI o contador de eventos. Contacto seco: Encendido: corto a GND. Apagado: abierto. Contacto húmedo (DI a COM): Encendido: 10 a 30 VCC. Apagado: 0 a 3 VCC. Según características descritas en PPT.</v>
      </c>
      <c r="F57" s="24">
        <f>IF(C57&lt;&gt;"",VLOOKUP(C57,Preciario!$A$2:$D$66,4,FALSE),"")</f>
        <v>300</v>
      </c>
      <c r="G57" s="24">
        <f t="shared" si="3"/>
        <v>600</v>
      </c>
      <c r="H57" s="49"/>
      <c r="I57" s="16"/>
      <c r="J57" s="6" t="s">
        <v>3</v>
      </c>
      <c r="K57" s="15"/>
      <c r="L57" s="15"/>
      <c r="M57" s="15"/>
      <c r="N57" s="15"/>
      <c r="O57" s="7">
        <f t="shared" si="7"/>
        <v>0</v>
      </c>
    </row>
    <row r="58" spans="1:15" ht="25" x14ac:dyDescent="0.35">
      <c r="A58" s="71">
        <v>1</v>
      </c>
      <c r="B58" s="72" t="s">
        <v>11</v>
      </c>
      <c r="C58" s="73" t="s">
        <v>307</v>
      </c>
      <c r="D58" s="72" t="s">
        <v>164</v>
      </c>
      <c r="E58" s="73" t="str">
        <f>IF(C58&lt;&gt;"",VLOOKUP(C58,Preciario!$A$2:$D$66,3,FALSE),"")</f>
        <v>Partida de mano de obra para configuración módulos IO en abonado CRA</v>
      </c>
      <c r="F58" s="24">
        <v>350</v>
      </c>
      <c r="G58" s="24">
        <f t="shared" si="3"/>
        <v>350</v>
      </c>
      <c r="I58" s="16"/>
      <c r="J58" s="6" t="s">
        <v>11</v>
      </c>
      <c r="K58" s="15"/>
      <c r="L58" s="15"/>
      <c r="M58" s="15"/>
      <c r="N58" s="15"/>
      <c r="O58" s="7">
        <f t="shared" si="7"/>
        <v>0</v>
      </c>
    </row>
    <row r="59" spans="1:15" ht="25" x14ac:dyDescent="0.35">
      <c r="A59" s="71">
        <f>'Presupuesto Total'!D32</f>
        <v>1</v>
      </c>
      <c r="B59" s="72" t="s">
        <v>11</v>
      </c>
      <c r="C59" s="73" t="s">
        <v>163</v>
      </c>
      <c r="D59" s="72" t="s">
        <v>164</v>
      </c>
      <c r="E59" s="73" t="str">
        <f>IF(C59&lt;&gt;"",VLOOKUP(C59,Preciario!$A$2:$D$66,3,FALSE),"")</f>
        <v>Partida ayudas auxiliares en equipamiento y mano de obra en sistemas de energía</v>
      </c>
      <c r="F59" s="24">
        <f>0.05*SUM(G39:G57)</f>
        <v>3231.1172854166675</v>
      </c>
      <c r="G59" s="24">
        <f t="shared" si="3"/>
        <v>3231.1172854166675</v>
      </c>
      <c r="I59" s="16"/>
      <c r="J59" s="6" t="s">
        <v>11</v>
      </c>
      <c r="K59" s="15"/>
      <c r="L59" s="15"/>
      <c r="M59" s="15"/>
      <c r="N59" s="15"/>
      <c r="O59" s="7">
        <f t="shared" si="4"/>
        <v>0</v>
      </c>
    </row>
    <row r="60" spans="1:15" ht="25" x14ac:dyDescent="0.35">
      <c r="A60" s="71">
        <f>'Presupuesto Total'!D33</f>
        <v>1</v>
      </c>
      <c r="B60" s="72" t="s">
        <v>11</v>
      </c>
      <c r="C60" s="73" t="s">
        <v>185</v>
      </c>
      <c r="D60" s="72" t="s">
        <v>162</v>
      </c>
      <c r="E60" s="73" t="str">
        <f>IF(C60&lt;&gt;"",VLOOKUP(C60,Preciario!$A$2:$D$66,3,FALSE),"")</f>
        <v>Partida ayudas auxiliares en equipamiento y mano de obra en albañilería</v>
      </c>
      <c r="F60" s="24">
        <v>3244.4865000000004</v>
      </c>
      <c r="G60" s="24">
        <f t="shared" si="3"/>
        <v>3244.4865000000004</v>
      </c>
      <c r="I60" s="16"/>
      <c r="J60" s="6" t="s">
        <v>11</v>
      </c>
      <c r="K60" s="15"/>
      <c r="L60" s="15"/>
      <c r="M60" s="15"/>
      <c r="N60" s="15"/>
      <c r="O60" s="7">
        <f t="shared" si="4"/>
        <v>0</v>
      </c>
    </row>
    <row r="61" spans="1:15" x14ac:dyDescent="0.35">
      <c r="A61" s="8"/>
      <c r="B61" s="8"/>
      <c r="C61" s="9"/>
      <c r="D61" s="9"/>
      <c r="E61" s="9"/>
      <c r="F61" s="19" t="s">
        <v>4</v>
      </c>
      <c r="G61" s="20">
        <f>SUM(G39:G60)</f>
        <v>71447.949493750013</v>
      </c>
      <c r="I61" s="8"/>
      <c r="J61" s="8"/>
      <c r="K61" s="9"/>
      <c r="L61" s="9"/>
      <c r="M61" s="9"/>
      <c r="N61" s="19" t="s">
        <v>4</v>
      </c>
      <c r="O61" s="20">
        <f>SUM(O39:O60)</f>
        <v>0</v>
      </c>
    </row>
    <row r="62" spans="1:15" x14ac:dyDescent="0.35">
      <c r="A62" s="10"/>
      <c r="B62" s="10"/>
      <c r="C62" s="11"/>
      <c r="D62" s="11"/>
      <c r="E62" s="11"/>
      <c r="F62" s="11"/>
      <c r="G62" s="11"/>
      <c r="I62" s="10"/>
      <c r="J62" s="10"/>
      <c r="K62" s="11"/>
      <c r="L62" s="11"/>
      <c r="M62" s="11"/>
      <c r="N62" s="11"/>
      <c r="O62" s="11"/>
    </row>
    <row r="63" spans="1:15" x14ac:dyDescent="0.35">
      <c r="A63" s="198" t="s">
        <v>292</v>
      </c>
      <c r="B63" s="199"/>
      <c r="C63" s="200"/>
      <c r="D63" s="4"/>
      <c r="E63" s="4"/>
      <c r="F63" s="4"/>
      <c r="G63" s="5"/>
      <c r="I63" s="198" t="s">
        <v>193</v>
      </c>
      <c r="J63" s="199"/>
      <c r="K63" s="200"/>
      <c r="L63" s="87"/>
      <c r="M63" s="87"/>
      <c r="N63" s="4"/>
      <c r="O63" s="4"/>
    </row>
    <row r="64" spans="1:15" x14ac:dyDescent="0.35">
      <c r="A64" s="197" t="s">
        <v>0</v>
      </c>
      <c r="B64" s="197"/>
      <c r="C64" s="12" t="s">
        <v>13</v>
      </c>
      <c r="D64" s="12" t="s">
        <v>14</v>
      </c>
      <c r="E64" s="12" t="s">
        <v>256</v>
      </c>
      <c r="F64" s="12" t="s">
        <v>2</v>
      </c>
      <c r="G64" s="13" t="s">
        <v>7</v>
      </c>
      <c r="I64" s="197" t="s">
        <v>0</v>
      </c>
      <c r="J64" s="197"/>
      <c r="K64" s="12" t="s">
        <v>13</v>
      </c>
      <c r="L64" s="12" t="s">
        <v>14</v>
      </c>
      <c r="M64" s="12" t="s">
        <v>256</v>
      </c>
      <c r="N64" s="12" t="s">
        <v>2</v>
      </c>
      <c r="O64" s="13" t="s">
        <v>7</v>
      </c>
    </row>
    <row r="65" spans="1:15" x14ac:dyDescent="0.35">
      <c r="A65" s="71">
        <v>4</v>
      </c>
      <c r="B65" s="72" t="s">
        <v>3</v>
      </c>
      <c r="C65" s="73" t="s">
        <v>212</v>
      </c>
      <c r="D65" s="72" t="str">
        <f>IF(C65&lt;&gt;"",VLOOKUP(C65,Preciario!$A$2:$D$66,2,FALSE),"")</f>
        <v>HDD10TB</v>
      </c>
      <c r="E65" s="73" t="str">
        <f>IF(C65&lt;&gt;"",VLOOKUP(C65,Preciario!$A$2:$D$66,3,FALSE),"")</f>
        <v>Disco duro SERVIDOR 10TB</v>
      </c>
      <c r="F65" s="24">
        <f>IF(C65&lt;&gt;"",VLOOKUP(C65,Preciario!$A$2:$D$66,4,FALSE),"")</f>
        <v>514.30000000000007</v>
      </c>
      <c r="G65" s="24">
        <f>A65*F65</f>
        <v>2057.2000000000003</v>
      </c>
      <c r="I65" s="16"/>
      <c r="J65" s="6" t="s">
        <v>3</v>
      </c>
      <c r="K65" s="15"/>
      <c r="L65" s="15"/>
      <c r="M65" s="15"/>
      <c r="N65" s="15"/>
      <c r="O65" s="7">
        <f t="shared" ref="O65:O67" si="8">+N65*I65</f>
        <v>0</v>
      </c>
    </row>
    <row r="66" spans="1:15" x14ac:dyDescent="0.35">
      <c r="A66" s="71">
        <v>1</v>
      </c>
      <c r="B66" s="72" t="s">
        <v>3</v>
      </c>
      <c r="C66" s="73" t="s">
        <v>224</v>
      </c>
      <c r="D66" s="72" t="str">
        <f>IF(C66&lt;&gt;"",VLOOKUP(C66,Preciario!$A$2:$D$66,2,FALSE),"")</f>
        <v>RAM8GB</v>
      </c>
      <c r="E66" s="73" t="str">
        <f>IF(C66&lt;&gt;"",VLOOKUP(C66,Preciario!$A$2:$D$66,3,FALSE),"")</f>
        <v>Memoría RAM 8GB</v>
      </c>
      <c r="F66" s="24">
        <f>IF(C66&lt;&gt;"",VLOOKUP(C66,Preciario!$A$2:$D$66,4,FALSE),"")</f>
        <v>51.800000000000004</v>
      </c>
      <c r="G66" s="24">
        <f>A66*F66</f>
        <v>51.800000000000004</v>
      </c>
      <c r="I66" s="16"/>
      <c r="J66" s="6" t="s">
        <v>3</v>
      </c>
      <c r="K66" s="15"/>
      <c r="L66" s="15"/>
      <c r="M66" s="15"/>
      <c r="N66" s="15"/>
      <c r="O66" s="7">
        <f t="shared" si="8"/>
        <v>0</v>
      </c>
    </row>
    <row r="67" spans="1:15" x14ac:dyDescent="0.35">
      <c r="A67" s="71">
        <v>1</v>
      </c>
      <c r="B67" s="72" t="s">
        <v>11</v>
      </c>
      <c r="C67" s="73" t="s">
        <v>207</v>
      </c>
      <c r="D67" s="72" t="s">
        <v>208</v>
      </c>
      <c r="E67" s="73" t="s">
        <v>207</v>
      </c>
      <c r="F67" s="24">
        <v>159.56</v>
      </c>
      <c r="G67" s="24">
        <f>A67*F67</f>
        <v>159.56</v>
      </c>
      <c r="I67" s="16"/>
      <c r="J67" s="6" t="s">
        <v>11</v>
      </c>
      <c r="K67" s="15"/>
      <c r="L67" s="15"/>
      <c r="M67" s="15"/>
      <c r="N67" s="15"/>
      <c r="O67" s="7">
        <f t="shared" si="8"/>
        <v>0</v>
      </c>
    </row>
    <row r="68" spans="1:15" x14ac:dyDescent="0.35">
      <c r="A68" s="8"/>
      <c r="B68" s="8"/>
      <c r="C68" s="9"/>
      <c r="D68" s="9"/>
      <c r="E68" s="9"/>
      <c r="F68" s="19" t="s">
        <v>4</v>
      </c>
      <c r="G68" s="20">
        <f>SUM(G65:G67)</f>
        <v>2268.5600000000004</v>
      </c>
      <c r="I68" s="8"/>
      <c r="J68" s="8"/>
      <c r="K68" s="9"/>
      <c r="L68" s="9"/>
      <c r="M68" s="9"/>
      <c r="N68" s="19" t="s">
        <v>4</v>
      </c>
      <c r="O68" s="20">
        <f>SUM(O65:O67)</f>
        <v>0</v>
      </c>
    </row>
    <row r="69" spans="1:15" x14ac:dyDescent="0.35">
      <c r="A69" s="10"/>
      <c r="B69" s="10"/>
      <c r="C69" s="11"/>
      <c r="D69" s="11"/>
      <c r="E69" s="11"/>
      <c r="F69" s="11"/>
      <c r="G69" s="11"/>
      <c r="I69" s="10"/>
      <c r="J69" s="10"/>
      <c r="K69" s="11"/>
      <c r="L69" s="11"/>
      <c r="M69" s="11"/>
      <c r="N69" s="11"/>
      <c r="O69" s="11"/>
    </row>
    <row r="70" spans="1:15" ht="27" customHeight="1" x14ac:dyDescent="0.35">
      <c r="A70" s="194" t="s">
        <v>125</v>
      </c>
      <c r="B70" s="195"/>
      <c r="C70" s="195"/>
      <c r="D70" s="195"/>
      <c r="E70" s="195"/>
      <c r="F70" s="196"/>
      <c r="G70" s="22">
        <f>G35+G61+G68</f>
        <v>85776.08772986113</v>
      </c>
      <c r="I70" s="194" t="s">
        <v>125</v>
      </c>
      <c r="J70" s="195"/>
      <c r="K70" s="195"/>
      <c r="L70" s="195"/>
      <c r="M70" s="195"/>
      <c r="N70" s="196"/>
      <c r="O70" s="25">
        <f>O35+O61+O68</f>
        <v>0</v>
      </c>
    </row>
  </sheetData>
  <sheetProtection algorithmName="SHA-512" hashValue="Gu+abJnW6Qn1j+V+FNcvv0uAl6aNfRiwG96fgAvXd69jFIs0/Y9SCkqfOXpRD9KIFg0UHAZmGFBWKFFsC27AgA==" saltValue="fIKUmmn2wdR/UYl32qClUw==" spinCount="100000" sheet="1" selectLockedCells="1"/>
  <mergeCells count="18">
    <mergeCell ref="D3:K6"/>
    <mergeCell ref="A9:O9"/>
    <mergeCell ref="C11:D11"/>
    <mergeCell ref="K11:L11"/>
    <mergeCell ref="A19:C19"/>
    <mergeCell ref="I19:K19"/>
    <mergeCell ref="A70:F70"/>
    <mergeCell ref="I70:N70"/>
    <mergeCell ref="A20:B20"/>
    <mergeCell ref="I20:J20"/>
    <mergeCell ref="A37:C37"/>
    <mergeCell ref="I37:K37"/>
    <mergeCell ref="A38:B38"/>
    <mergeCell ref="I38:J38"/>
    <mergeCell ref="A63:C63"/>
    <mergeCell ref="I63:K63"/>
    <mergeCell ref="A64:B64"/>
    <mergeCell ref="I64:J64"/>
  </mergeCells>
  <dataValidations count="3">
    <dataValidation type="whole" allowBlank="1" showInputMessage="1" showErrorMessage="1" error="Introducir Unidades" sqref="A64 A38 I61 I38 A20 I35:I36 I20 I64 I68" xr:uid="{1CA77AF7-5ABC-4EE1-A90F-211392C66E2A}">
      <formula1>1</formula1>
      <formula2>1000</formula2>
    </dataValidation>
    <dataValidation type="decimal" allowBlank="1" showInputMessage="1" showErrorMessage="1" error="Introducir Precio Unitario" sqref="N38 F38 F64 N64 N20 F20" xr:uid="{4479D686-759B-4745-B123-F18F73F08D51}">
      <formula1>1</formula1>
      <formula2>100000</formula2>
    </dataValidation>
    <dataValidation type="decimal" allowBlank="1" showErrorMessage="1" error="Introducir Precio Unitario" sqref="N61 N63 N35:N37 N68" xr:uid="{E72C0981-3152-4DB9-A0B8-5ABDAC2ED669}">
      <formula1>1</formula1>
      <formula2>100000</formula2>
    </dataValidation>
  </dataValidations>
  <hyperlinks>
    <hyperlink ref="H11" location="'Presupuesto Total'!A1" display="ÍNDICE" xr:uid="{5401718A-46A5-4101-9B2C-94D1FD8F4EDD}"/>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7B0AB-1095-4BA0-A4F5-2D35C7E2477E}">
  <dimension ref="A3:U59"/>
  <sheetViews>
    <sheetView showGridLines="0" topLeftCell="A52" zoomScale="70" zoomScaleNormal="70" workbookViewId="0">
      <selection activeCell="K56" activeCellId="3" sqref="I20:I28 K20:N28 I33:I56 K33:N56"/>
    </sheetView>
  </sheetViews>
  <sheetFormatPr baseColWidth="10" defaultColWidth="11.54296875" defaultRowHeight="14.5" x14ac:dyDescent="0.35"/>
  <cols>
    <col min="1" max="1" width="8" style="1" customWidth="1"/>
    <col min="2" max="2" width="3" style="1" bestFit="1" customWidth="1"/>
    <col min="3" max="3" width="49.54296875" style="1" customWidth="1"/>
    <col min="4" max="4" width="22.453125" style="1" customWidth="1"/>
    <col min="5" max="5" width="51.08984375" style="1" customWidth="1"/>
    <col min="6" max="6" width="13.54296875" style="1" bestFit="1" customWidth="1"/>
    <col min="7" max="7" width="14.90625" style="1" bestFit="1" customWidth="1"/>
    <col min="8" max="9" width="11.54296875" style="1"/>
    <col min="10" max="10" width="3.453125" style="1" bestFit="1" customWidth="1"/>
    <col min="11" max="11" width="48.90625" style="1" bestFit="1" customWidth="1"/>
    <col min="12" max="12" width="19.453125" style="1" bestFit="1" customWidth="1"/>
    <col min="13" max="13" width="22.453125" style="1" customWidth="1"/>
    <col min="14" max="14" width="16" style="1" bestFit="1" customWidth="1"/>
    <col min="15" max="15" width="14.453125" style="1" bestFit="1" customWidth="1"/>
    <col min="16" max="16384" width="11.54296875" style="1"/>
  </cols>
  <sheetData>
    <row r="3" spans="1:21" ht="14.4" customHeight="1" x14ac:dyDescent="0.35">
      <c r="D3" s="201" t="s">
        <v>126</v>
      </c>
      <c r="E3" s="202"/>
      <c r="F3" s="202"/>
      <c r="G3" s="202"/>
      <c r="H3" s="202"/>
      <c r="I3" s="202"/>
      <c r="J3" s="202"/>
      <c r="K3" s="202"/>
      <c r="N3" s="23"/>
    </row>
    <row r="4" spans="1:21" ht="14.4" customHeight="1" x14ac:dyDescent="0.35">
      <c r="D4" s="201"/>
      <c r="E4" s="202"/>
      <c r="F4" s="202"/>
      <c r="G4" s="202"/>
      <c r="H4" s="202"/>
      <c r="I4" s="202"/>
      <c r="J4" s="202"/>
      <c r="K4" s="202"/>
      <c r="N4" s="23"/>
    </row>
    <row r="5" spans="1:21" ht="14.4" customHeight="1" x14ac:dyDescent="0.35">
      <c r="D5" s="201"/>
      <c r="E5" s="202"/>
      <c r="F5" s="202"/>
      <c r="G5" s="202"/>
      <c r="H5" s="202"/>
      <c r="I5" s="202"/>
      <c r="J5" s="202"/>
      <c r="K5" s="202"/>
      <c r="N5" s="23"/>
    </row>
    <row r="6" spans="1:21" ht="14.4" customHeight="1" x14ac:dyDescent="0.35">
      <c r="D6" s="201"/>
      <c r="E6" s="202"/>
      <c r="F6" s="202"/>
      <c r="G6" s="202"/>
      <c r="H6" s="202"/>
      <c r="I6" s="202"/>
      <c r="J6" s="202"/>
      <c r="K6" s="202"/>
      <c r="N6" s="23"/>
    </row>
    <row r="7" spans="1:21" ht="14.4" customHeight="1" x14ac:dyDescent="0.35">
      <c r="N7" s="23"/>
    </row>
    <row r="8" spans="1:21" ht="14.4" customHeight="1" x14ac:dyDescent="0.35">
      <c r="N8" s="23"/>
    </row>
    <row r="9" spans="1:21" ht="17.5" x14ac:dyDescent="0.35">
      <c r="A9" s="203"/>
      <c r="B9" s="203"/>
      <c r="C9" s="203"/>
      <c r="D9" s="203"/>
      <c r="E9" s="203"/>
      <c r="F9" s="203"/>
      <c r="G9" s="203"/>
      <c r="H9" s="203"/>
      <c r="I9" s="203"/>
      <c r="J9" s="203"/>
      <c r="K9" s="203"/>
      <c r="L9" s="203"/>
      <c r="M9" s="203"/>
      <c r="N9" s="203"/>
      <c r="O9" s="203"/>
    </row>
    <row r="10" spans="1:21" customFormat="1" ht="15" thickBot="1" x14ac:dyDescent="0.4">
      <c r="N10" s="1"/>
      <c r="O10" s="1"/>
    </row>
    <row r="11" spans="1:21" customFormat="1" ht="23.15" customHeight="1" thickBot="1" x14ac:dyDescent="0.4">
      <c r="C11" s="204" t="s">
        <v>16</v>
      </c>
      <c r="D11" s="205"/>
      <c r="E11" s="81"/>
      <c r="H11" s="45" t="s">
        <v>154</v>
      </c>
      <c r="I11" s="1"/>
      <c r="J11" s="1"/>
      <c r="K11" s="204" t="s">
        <v>15</v>
      </c>
      <c r="L11" s="205"/>
      <c r="M11" s="81"/>
      <c r="N11" s="1"/>
      <c r="O11" s="1"/>
      <c r="Q11" s="1"/>
      <c r="R11" s="1"/>
      <c r="S11" s="1"/>
      <c r="T11" s="1"/>
      <c r="U11" s="1"/>
    </row>
    <row r="12" spans="1:21" customFormat="1" x14ac:dyDescent="0.35">
      <c r="C12" s="1"/>
      <c r="D12" s="1"/>
      <c r="E12" s="82"/>
      <c r="F12" s="1"/>
      <c r="G12" s="1"/>
      <c r="I12" s="1"/>
      <c r="J12" s="1"/>
      <c r="K12" s="1"/>
      <c r="L12" s="1"/>
      <c r="M12" s="82"/>
      <c r="N12" s="1"/>
      <c r="O12" s="1"/>
      <c r="Q12" s="1"/>
      <c r="R12" s="1"/>
      <c r="S12" s="1"/>
      <c r="T12" s="1"/>
      <c r="U12" s="1"/>
    </row>
    <row r="13" spans="1:21" customFormat="1" ht="26" x14ac:dyDescent="0.35">
      <c r="C13" s="14" t="s">
        <v>127</v>
      </c>
      <c r="D13" s="14" t="s">
        <v>7</v>
      </c>
      <c r="E13" s="83"/>
      <c r="F13" s="1"/>
      <c r="G13" s="1"/>
      <c r="I13" s="1"/>
      <c r="J13" s="1"/>
      <c r="K13" s="14" t="s">
        <v>128</v>
      </c>
      <c r="L13" s="14" t="s">
        <v>17</v>
      </c>
      <c r="M13" s="83"/>
      <c r="N13" s="1"/>
      <c r="O13" s="1"/>
      <c r="Q13" s="1"/>
      <c r="R13" s="1"/>
      <c r="S13" s="1"/>
      <c r="T13" s="1"/>
      <c r="U13" s="1"/>
    </row>
    <row r="14" spans="1:21" customFormat="1" x14ac:dyDescent="0.35">
      <c r="C14" s="17" t="str">
        <f>A18</f>
        <v>1.- ATR</v>
      </c>
      <c r="D14" s="2">
        <f>G29</f>
        <v>5529.7439999999997</v>
      </c>
      <c r="E14" s="61"/>
      <c r="F14" s="1"/>
      <c r="G14" s="1"/>
      <c r="I14" s="1"/>
      <c r="J14" s="1"/>
      <c r="K14" s="17" t="str">
        <f>I18</f>
        <v>1.- ATR</v>
      </c>
      <c r="L14" s="2">
        <f>O29</f>
        <v>0</v>
      </c>
      <c r="M14" s="84"/>
      <c r="N14" s="1"/>
      <c r="O14" s="1"/>
      <c r="Q14" s="1"/>
      <c r="R14" s="1"/>
      <c r="S14" s="1"/>
      <c r="T14" s="1"/>
      <c r="U14" s="1"/>
    </row>
    <row r="15" spans="1:21" customFormat="1" x14ac:dyDescent="0.35">
      <c r="C15" s="17" t="str">
        <f>A31</f>
        <v>2.- PERÍMETRO</v>
      </c>
      <c r="D15" s="3">
        <f>G57</f>
        <v>78261.647944444456</v>
      </c>
      <c r="E15" s="62"/>
      <c r="F15" s="1"/>
      <c r="G15" s="1"/>
      <c r="I15" s="1"/>
      <c r="J15" s="1"/>
      <c r="K15" s="17" t="str">
        <f>I31</f>
        <v>2.- PERÍMETRO</v>
      </c>
      <c r="L15" s="3">
        <f>O57</f>
        <v>0</v>
      </c>
      <c r="M15" s="89"/>
      <c r="N15" s="1"/>
      <c r="O15" s="1"/>
      <c r="Q15" s="1"/>
      <c r="R15" s="1"/>
      <c r="S15" s="1"/>
      <c r="T15" s="1"/>
      <c r="U15" s="1"/>
    </row>
    <row r="16" spans="1:21" customFormat="1" ht="15.5" x14ac:dyDescent="0.35">
      <c r="C16" s="18" t="s">
        <v>8</v>
      </c>
      <c r="D16" s="21">
        <f>+SUM(D14:D15)</f>
        <v>83791.391944444462</v>
      </c>
      <c r="E16" s="63"/>
      <c r="F16" s="1"/>
      <c r="G16" s="1"/>
      <c r="I16" s="1"/>
      <c r="J16" s="1"/>
      <c r="K16" s="18" t="s">
        <v>8</v>
      </c>
      <c r="L16" s="21">
        <f>+SUM(L14:L15)</f>
        <v>0</v>
      </c>
      <c r="M16" s="90"/>
      <c r="N16" s="1"/>
      <c r="O16" s="1"/>
      <c r="Q16" s="1"/>
      <c r="R16" s="1"/>
      <c r="S16" s="1"/>
      <c r="T16" s="1"/>
      <c r="U16" s="1"/>
    </row>
    <row r="17" spans="1:15" x14ac:dyDescent="0.35">
      <c r="M17" s="82"/>
    </row>
    <row r="18" spans="1:15" ht="14.4" customHeight="1" x14ac:dyDescent="0.35">
      <c r="A18" s="198" t="s">
        <v>69</v>
      </c>
      <c r="B18" s="199"/>
      <c r="C18" s="200"/>
      <c r="D18" s="4"/>
      <c r="E18" s="4"/>
      <c r="F18" s="4"/>
      <c r="G18" s="5"/>
      <c r="I18" s="198" t="s">
        <v>69</v>
      </c>
      <c r="J18" s="199"/>
      <c r="K18" s="200"/>
      <c r="L18" s="87"/>
      <c r="M18" s="87"/>
      <c r="N18" s="4"/>
      <c r="O18" s="4"/>
    </row>
    <row r="19" spans="1:15" ht="26.4" customHeight="1" x14ac:dyDescent="0.35">
      <c r="A19" s="197" t="s">
        <v>0</v>
      </c>
      <c r="B19" s="197"/>
      <c r="C19" s="12" t="s">
        <v>1</v>
      </c>
      <c r="D19" s="12" t="s">
        <v>5</v>
      </c>
      <c r="E19" s="12" t="s">
        <v>256</v>
      </c>
      <c r="F19" s="13" t="s">
        <v>2</v>
      </c>
      <c r="G19" s="14" t="s">
        <v>7</v>
      </c>
      <c r="I19" s="197" t="s">
        <v>0</v>
      </c>
      <c r="J19" s="197"/>
      <c r="K19" s="12" t="s">
        <v>13</v>
      </c>
      <c r="L19" s="12" t="s">
        <v>14</v>
      </c>
      <c r="M19" s="12" t="s">
        <v>256</v>
      </c>
      <c r="N19" s="12" t="s">
        <v>2</v>
      </c>
      <c r="O19" s="13" t="s">
        <v>7</v>
      </c>
    </row>
    <row r="20" spans="1:15" ht="125" x14ac:dyDescent="0.35">
      <c r="A20" s="71">
        <v>3</v>
      </c>
      <c r="B20" s="72" t="s">
        <v>3</v>
      </c>
      <c r="C20" s="73" t="s">
        <v>72</v>
      </c>
      <c r="D20" s="72" t="str">
        <f>IF(C20&lt;&gt;"",VLOOKUP(C20,Preciario!$A$2:$D$66,2,FALSE),"")</f>
        <v>P3265LVE</v>
      </c>
      <c r="E20" s="73" t="str">
        <f>IF(C20&lt;&gt;"",VLOOKUP(C20,Preciario!$A$2:$D$66,3,FALSE),"")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20" s="24">
        <f>IF(C20&lt;&gt;"",VLOOKUP(C20,Preciario!$A$2:$D$66,4,FALSE),"")</f>
        <v>749</v>
      </c>
      <c r="G20" s="24">
        <f t="shared" ref="G20:G28" si="0">A20*F20</f>
        <v>2247</v>
      </c>
      <c r="I20" s="16"/>
      <c r="J20" s="6" t="s">
        <v>3</v>
      </c>
      <c r="K20" s="15"/>
      <c r="L20" s="15"/>
      <c r="M20" s="15"/>
      <c r="N20" s="15"/>
      <c r="O20" s="7">
        <f t="shared" ref="O20:O28" si="1">+N20*I20</f>
        <v>0</v>
      </c>
    </row>
    <row r="21" spans="1:15" ht="62.5" x14ac:dyDescent="0.35">
      <c r="A21" s="71">
        <v>3</v>
      </c>
      <c r="B21" s="72" t="s">
        <v>3</v>
      </c>
      <c r="C21" s="73" t="s">
        <v>266</v>
      </c>
      <c r="D21" s="72" t="str">
        <f>IF(C21&lt;&gt;"",VLOOKUP(C21,Preciario!$A$2:$D$66,2,FALSE),"")</f>
        <v>T91B47</v>
      </c>
      <c r="E21" s="73" t="str">
        <f>IF(C21&lt;&gt;"",VLOOKUP(C21,Preciario!$A$2:$D$66,3,FALSE),"")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21" s="24">
        <f>IF(C21&lt;&gt;"",VLOOKUP(C21,Preciario!$A$2:$D$66,4,FALSE),"")</f>
        <v>89</v>
      </c>
      <c r="G21" s="24">
        <f t="shared" si="0"/>
        <v>267</v>
      </c>
      <c r="I21" s="16"/>
      <c r="J21" s="6" t="s">
        <v>3</v>
      </c>
      <c r="K21" s="15"/>
      <c r="L21" s="15"/>
      <c r="M21" s="15"/>
      <c r="N21" s="15"/>
      <c r="O21" s="7">
        <f t="shared" ref="O21" si="2">+N21*I21</f>
        <v>0</v>
      </c>
    </row>
    <row r="22" spans="1:15" x14ac:dyDescent="0.35">
      <c r="A22" s="71">
        <v>3</v>
      </c>
      <c r="B22" s="72" t="s">
        <v>3</v>
      </c>
      <c r="C22" s="73" t="s">
        <v>31</v>
      </c>
      <c r="D22" s="72" t="str">
        <f>IF(C22&lt;&gt;"",VLOOKUP(C22,Preciario!$A$2:$D$66,2,FALSE),"")</f>
        <v>LIC_CAM</v>
      </c>
      <c r="E22" s="73" t="str">
        <f>IF(C22&lt;&gt;"",VLOOKUP(C22,Preciario!$A$2:$D$66,3,FALSE),"")</f>
        <v xml:space="preserve">Licenciamiento de cámara en servidor </v>
      </c>
      <c r="F22" s="24">
        <f>IF(C22&lt;&gt;"",VLOOKUP(C22,Preciario!$A$2:$D$66,4,FALSE),"")</f>
        <v>159.05000000000001</v>
      </c>
      <c r="G22" s="24">
        <f t="shared" si="0"/>
        <v>477.15000000000003</v>
      </c>
      <c r="I22" s="16"/>
      <c r="J22" s="6" t="s">
        <v>3</v>
      </c>
      <c r="K22" s="15"/>
      <c r="L22" s="15"/>
      <c r="M22" s="15"/>
      <c r="N22" s="15"/>
      <c r="O22" s="7">
        <f t="shared" si="1"/>
        <v>0</v>
      </c>
    </row>
    <row r="23" spans="1:15" ht="25" x14ac:dyDescent="0.35">
      <c r="A23" s="71">
        <v>25</v>
      </c>
      <c r="B23" s="72" t="s">
        <v>10</v>
      </c>
      <c r="C23" s="73" t="s">
        <v>273</v>
      </c>
      <c r="D23" s="72" t="str">
        <f>IF(C23&lt;&gt;"",VLOOKUP(C23,Preciario!$A$2:$D$66,2,FALSE),"")</f>
        <v>TUBAC32</v>
      </c>
      <c r="E23" s="73" t="str">
        <f>IF(C23&lt;&gt;"",VLOOKUP(C23,Preciario!$A$2:$D$66,3,FALSE),"")</f>
        <v>Suministro e instalación de tubo acero M32, p.p mano de obra y accesorios</v>
      </c>
      <c r="F23" s="24">
        <f>IF(C23&lt;&gt;"",VLOOKUP(C23,Preciario!$A$2:$D$66,4,FALSE),"")</f>
        <v>24.78</v>
      </c>
      <c r="G23" s="24">
        <f t="shared" si="0"/>
        <v>619.5</v>
      </c>
      <c r="I23" s="16"/>
      <c r="J23" s="6" t="s">
        <v>10</v>
      </c>
      <c r="K23" s="15"/>
      <c r="L23" s="15"/>
      <c r="M23" s="15"/>
      <c r="N23" s="15"/>
      <c r="O23" s="7">
        <f t="shared" si="1"/>
        <v>0</v>
      </c>
    </row>
    <row r="24" spans="1:15" ht="62.5" x14ac:dyDescent="0.35">
      <c r="A24" s="71">
        <v>110</v>
      </c>
      <c r="B24" s="72" t="s">
        <v>10</v>
      </c>
      <c r="C24" s="73" t="s">
        <v>277</v>
      </c>
      <c r="D24" s="72" t="str">
        <f>IF(C24&lt;&gt;"",VLOOKUP(C24,Preciario!$A$2:$D$66,2,FALSE),"")</f>
        <v>FTP_CAT6A/CAT7</v>
      </c>
      <c r="E24" s="73" t="str">
        <f>IF(C24&lt;&gt;"",VLOOKUP(C24,Preciario!$A$2:$D$66,3,FALSE),"")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24" s="24">
        <f>IF(C24&lt;&gt;"",VLOOKUP(C24,Preciario!$A$2:$D$66,4,FALSE),"")</f>
        <v>4.8</v>
      </c>
      <c r="G24" s="24">
        <f t="shared" si="0"/>
        <v>528</v>
      </c>
      <c r="I24" s="16"/>
      <c r="J24" s="6" t="s">
        <v>10</v>
      </c>
      <c r="K24" s="15"/>
      <c r="L24" s="15"/>
      <c r="M24" s="15"/>
      <c r="N24" s="15"/>
      <c r="O24" s="7">
        <f t="shared" si="1"/>
        <v>0</v>
      </c>
    </row>
    <row r="25" spans="1:15" ht="75" x14ac:dyDescent="0.35">
      <c r="A25" s="71">
        <v>3</v>
      </c>
      <c r="B25" s="72" t="s">
        <v>10</v>
      </c>
      <c r="C25" s="73" t="s">
        <v>228</v>
      </c>
      <c r="D25" s="72" t="str">
        <f>IF(C25&lt;&gt;"",VLOOKUP(C25,Preciario!$A$2:$D$66,2,FALSE),"")</f>
        <v>Zanja</v>
      </c>
      <c r="E25" s="73" t="str">
        <f>IF(C25&lt;&gt;"",VLOOKUP(C25,Preciario!$A$2:$D$66,3,FALSE),"")</f>
        <v>Construcción de zanja, incluyendo la excavación, la carga y el transporte de las tierras a vertedero autorizado, el suministro y colocación de 4 tubos de PVC corrugado, para instalaciones, relleno de la misma con material recuperado, y acabado superficial con hormigón en masa o asfalto; i/ p.p.medios auxiliares.</v>
      </c>
      <c r="F25" s="24">
        <f>IF(C25&lt;&gt;"",VLOOKUP(C25,Preciario!$A$2:$D$66,4,FALSE),"")</f>
        <v>78.930000000000007</v>
      </c>
      <c r="G25" s="24">
        <f t="shared" si="0"/>
        <v>236.79000000000002</v>
      </c>
      <c r="I25" s="16"/>
      <c r="J25" s="6" t="s">
        <v>10</v>
      </c>
      <c r="K25" s="15"/>
      <c r="L25" s="15"/>
      <c r="M25" s="15"/>
      <c r="N25" s="15"/>
      <c r="O25" s="7">
        <f t="shared" si="1"/>
        <v>0</v>
      </c>
    </row>
    <row r="26" spans="1:15" ht="37.5" x14ac:dyDescent="0.35">
      <c r="A26" s="71">
        <v>2</v>
      </c>
      <c r="B26" s="72" t="s">
        <v>3</v>
      </c>
      <c r="C26" s="73" t="s">
        <v>233</v>
      </c>
      <c r="D26" s="72" t="str">
        <f>IF(C26&lt;&gt;"",VLOOKUP(C26,Preciario!$A$2:$D$66,2,FALSE),"")</f>
        <v>Arqueta</v>
      </c>
      <c r="E26" s="73" t="str">
        <f>IF(C26&lt;&gt;"",VLOOKUP(C26,Preciario!$A$2:$D$66,3,FALSE),"")</f>
        <v>Arqueta de registro construida a base de ladrillo macizo de 1/2 pie de espesor, enfoscada y bruñida interiormente, con tapa metálica con cerco y tirador.</v>
      </c>
      <c r="F26" s="24">
        <f>IF(C26&lt;&gt;"",VLOOKUP(C26,Preciario!$A$2:$D$66,4,FALSE),"")</f>
        <v>325.8</v>
      </c>
      <c r="G26" s="24">
        <f t="shared" si="0"/>
        <v>651.6</v>
      </c>
      <c r="I26" s="16"/>
      <c r="J26" s="6" t="s">
        <v>3</v>
      </c>
      <c r="K26" s="15"/>
      <c r="L26" s="15"/>
      <c r="M26" s="15"/>
      <c r="N26" s="15"/>
      <c r="O26" s="7">
        <f t="shared" si="1"/>
        <v>0</v>
      </c>
    </row>
    <row r="27" spans="1:15" ht="25" x14ac:dyDescent="0.35">
      <c r="A27" s="71">
        <f>'Presupuesto Total'!D32</f>
        <v>1</v>
      </c>
      <c r="B27" s="72" t="s">
        <v>11</v>
      </c>
      <c r="C27" s="73" t="s">
        <v>163</v>
      </c>
      <c r="D27" s="72" t="s">
        <v>164</v>
      </c>
      <c r="E27" s="73" t="str">
        <f>IF(C27&lt;&gt;"",VLOOKUP(C27,Preciario!$A$2:$D$66,3,FALSE),"")</f>
        <v>Partida ayudas auxiliares en equipamiento y mano de obra en sistemas de energía</v>
      </c>
      <c r="F27" s="24">
        <v>251.352</v>
      </c>
      <c r="G27" s="24">
        <f t="shared" si="0"/>
        <v>251.352</v>
      </c>
      <c r="I27" s="16"/>
      <c r="J27" s="6" t="s">
        <v>11</v>
      </c>
      <c r="K27" s="15"/>
      <c r="L27" s="15"/>
      <c r="M27" s="15"/>
      <c r="N27" s="15"/>
      <c r="O27" s="7">
        <f t="shared" si="1"/>
        <v>0</v>
      </c>
    </row>
    <row r="28" spans="1:15" ht="25" x14ac:dyDescent="0.35">
      <c r="A28" s="71">
        <f>'Presupuesto Total'!D33</f>
        <v>1</v>
      </c>
      <c r="B28" s="72" t="s">
        <v>11</v>
      </c>
      <c r="C28" s="73" t="s">
        <v>185</v>
      </c>
      <c r="D28" s="72" t="s">
        <v>162</v>
      </c>
      <c r="E28" s="73" t="str">
        <f>IF(C28&lt;&gt;"",VLOOKUP(C28,Preciario!$A$2:$D$66,3,FALSE),"")</f>
        <v>Partida ayudas auxiliares en equipamiento y mano de obra en albañilería</v>
      </c>
      <c r="F28" s="24">
        <v>251.352</v>
      </c>
      <c r="G28" s="24">
        <f t="shared" si="0"/>
        <v>251.352</v>
      </c>
      <c r="I28" s="16"/>
      <c r="J28" s="6" t="s">
        <v>11</v>
      </c>
      <c r="K28" s="15"/>
      <c r="L28" s="15"/>
      <c r="M28" s="15"/>
      <c r="N28" s="15"/>
      <c r="O28" s="7">
        <f t="shared" si="1"/>
        <v>0</v>
      </c>
    </row>
    <row r="29" spans="1:15" x14ac:dyDescent="0.35">
      <c r="A29" s="8"/>
      <c r="B29" s="8"/>
      <c r="C29" s="9"/>
      <c r="D29" s="9"/>
      <c r="E29" s="9"/>
      <c r="F29" s="19" t="s">
        <v>4</v>
      </c>
      <c r="G29" s="20">
        <f>SUM(G20:G28)</f>
        <v>5529.7439999999997</v>
      </c>
      <c r="I29" s="8"/>
      <c r="J29" s="8"/>
      <c r="K29" s="9"/>
      <c r="L29" s="9"/>
      <c r="M29" s="9"/>
      <c r="N29" s="19" t="s">
        <v>4</v>
      </c>
      <c r="O29" s="20">
        <f>SUM(O20:O28)</f>
        <v>0</v>
      </c>
    </row>
    <row r="30" spans="1:15" x14ac:dyDescent="0.35">
      <c r="A30" s="10"/>
      <c r="B30" s="10"/>
      <c r="C30" s="11"/>
      <c r="D30" s="11"/>
      <c r="E30" s="11"/>
      <c r="F30" s="11"/>
      <c r="G30" s="11"/>
      <c r="I30" s="10"/>
      <c r="J30" s="10"/>
      <c r="K30" s="11"/>
      <c r="L30" s="11"/>
      <c r="M30" s="11"/>
      <c r="N30" s="11"/>
      <c r="O30" s="11"/>
    </row>
    <row r="31" spans="1:15" ht="14.4" customHeight="1" x14ac:dyDescent="0.35">
      <c r="A31" s="198" t="s">
        <v>70</v>
      </c>
      <c r="B31" s="199"/>
      <c r="C31" s="200"/>
      <c r="D31" s="4"/>
      <c r="E31" s="4"/>
      <c r="F31" s="4"/>
      <c r="G31" s="5"/>
      <c r="I31" s="198" t="s">
        <v>70</v>
      </c>
      <c r="J31" s="199"/>
      <c r="K31" s="200"/>
      <c r="L31" s="87"/>
      <c r="M31" s="87"/>
      <c r="N31" s="4"/>
      <c r="O31" s="4"/>
    </row>
    <row r="32" spans="1:15" ht="26.4" customHeight="1" x14ac:dyDescent="0.35">
      <c r="A32" s="197" t="s">
        <v>0</v>
      </c>
      <c r="B32" s="197"/>
      <c r="C32" s="12" t="s">
        <v>1</v>
      </c>
      <c r="D32" s="12" t="s">
        <v>5</v>
      </c>
      <c r="E32" s="12" t="s">
        <v>256</v>
      </c>
      <c r="F32" s="13" t="s">
        <v>2</v>
      </c>
      <c r="G32" s="14" t="s">
        <v>7</v>
      </c>
      <c r="I32" s="197" t="s">
        <v>0</v>
      </c>
      <c r="J32" s="197"/>
      <c r="K32" s="12" t="s">
        <v>13</v>
      </c>
      <c r="L32" s="12" t="s">
        <v>14</v>
      </c>
      <c r="M32" s="12" t="s">
        <v>256</v>
      </c>
      <c r="N32" s="12" t="s">
        <v>2</v>
      </c>
      <c r="O32" s="13" t="s">
        <v>7</v>
      </c>
    </row>
    <row r="33" spans="1:15" ht="25" x14ac:dyDescent="0.35">
      <c r="A33" s="71">
        <v>7</v>
      </c>
      <c r="B33" s="72" t="s">
        <v>3</v>
      </c>
      <c r="C33" s="73" t="s">
        <v>29</v>
      </c>
      <c r="D33" s="72" t="str">
        <f>IF(C33&lt;&gt;"",VLOOKUP(C33,Preciario!$A$2:$D$66,2,FALSE),"")</f>
        <v>BACULO</v>
      </c>
      <c r="E33" s="73" t="str">
        <f>IF(C33&lt;&gt;"",VLOOKUP(C33,Preciario!$A$2:$D$66,3,FALSE),"")</f>
        <v xml:space="preserve">Báculo de 4 metros de altura para la colocación de una cámara de videovigilancia. Incluye el soporte de suelo. </v>
      </c>
      <c r="F33" s="24">
        <f>IF(C33&lt;&gt;"",VLOOKUP(C33,Preciario!$A$2:$D$66,4,FALSE),"")</f>
        <v>330</v>
      </c>
      <c r="G33" s="24">
        <f t="shared" ref="G33:G56" si="3">A33*F33</f>
        <v>2310</v>
      </c>
      <c r="H33" s="49"/>
      <c r="I33" s="16"/>
      <c r="J33" s="6" t="s">
        <v>3</v>
      </c>
      <c r="K33" s="15"/>
      <c r="L33" s="15"/>
      <c r="M33" s="15"/>
      <c r="N33" s="15"/>
      <c r="O33" s="7">
        <f t="shared" ref="O33:O56" si="4">+N33*I33</f>
        <v>0</v>
      </c>
    </row>
    <row r="34" spans="1:15" ht="50" x14ac:dyDescent="0.35">
      <c r="A34" s="71">
        <v>1</v>
      </c>
      <c r="B34" s="72" t="s">
        <v>3</v>
      </c>
      <c r="C34" s="73" t="s">
        <v>28</v>
      </c>
      <c r="D34" s="158" t="str">
        <f>IF(C34&lt;&gt;"",VLOOKUP(C34,Preciario!$A$2:$D$66,2,FALSE),"")</f>
        <v>BAC6MC</v>
      </c>
      <c r="E34" s="73" t="str">
        <f>IF(C34&lt;&gt;"",VLOOKUP(C34,Preciario!$A$2:$D$66,3,FALSE),"")</f>
        <v>Báculos abatibles 6m acero inoxidable para cámaras. Suministro, instalación de báculos cilíndricos (154mm x 2mm) de altura 6m en acero inoxidable incluida cimentación en hormigon para baculo 60x60x60</v>
      </c>
      <c r="F34" s="24">
        <f>IF(C34&lt;&gt;"",VLOOKUP(C34,Preciario!$A$2:$D$66,4,FALSE),"")</f>
        <v>720</v>
      </c>
      <c r="G34" s="24">
        <f t="shared" si="3"/>
        <v>720</v>
      </c>
      <c r="I34" s="16"/>
      <c r="J34" s="6" t="s">
        <v>3</v>
      </c>
      <c r="K34" s="15"/>
      <c r="L34" s="15"/>
      <c r="M34" s="15"/>
      <c r="N34" s="15"/>
      <c r="O34" s="7">
        <f t="shared" si="4"/>
        <v>0</v>
      </c>
    </row>
    <row r="35" spans="1:15" x14ac:dyDescent="0.35">
      <c r="A35" s="71">
        <v>1</v>
      </c>
      <c r="B35" s="72" t="s">
        <v>3</v>
      </c>
      <c r="C35" s="73" t="s">
        <v>283</v>
      </c>
      <c r="D35" s="72" t="s">
        <v>284</v>
      </c>
      <c r="E35" s="73" t="s">
        <v>285</v>
      </c>
      <c r="F35" s="24">
        <v>400</v>
      </c>
      <c r="G35" s="24">
        <f t="shared" si="3"/>
        <v>400</v>
      </c>
      <c r="I35" s="16"/>
      <c r="J35" s="6"/>
      <c r="K35" s="15"/>
      <c r="L35" s="15"/>
      <c r="M35" s="15"/>
      <c r="N35" s="15"/>
      <c r="O35" s="7">
        <f t="shared" si="4"/>
        <v>0</v>
      </c>
    </row>
    <row r="36" spans="1:15" ht="125" x14ac:dyDescent="0.35">
      <c r="A36" s="71">
        <v>18</v>
      </c>
      <c r="B36" s="72" t="s">
        <v>3</v>
      </c>
      <c r="C36" s="73" t="s">
        <v>72</v>
      </c>
      <c r="D36" s="72" t="str">
        <f>IF(C36&lt;&gt;"",VLOOKUP(C36,Preciario!$A$2:$D$66,2,FALSE),"")</f>
        <v>P3265LVE</v>
      </c>
      <c r="E36" s="73" t="str">
        <f>IF(C36&lt;&gt;"",VLOOKUP(C36,Preciario!$A$2:$D$66,3,FALSE),"")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36" s="24">
        <f>IF(C36&lt;&gt;"",VLOOKUP(C36,Preciario!$A$2:$D$66,4,FALSE),"")</f>
        <v>749</v>
      </c>
      <c r="G36" s="24">
        <f t="shared" si="3"/>
        <v>13482</v>
      </c>
      <c r="I36" s="16"/>
      <c r="J36" s="6" t="s">
        <v>3</v>
      </c>
      <c r="K36" s="15"/>
      <c r="L36" s="15"/>
      <c r="M36" s="15"/>
      <c r="N36" s="15"/>
      <c r="O36" s="7">
        <f t="shared" si="4"/>
        <v>0</v>
      </c>
    </row>
    <row r="37" spans="1:15" ht="50" x14ac:dyDescent="0.35">
      <c r="A37" s="71">
        <v>6</v>
      </c>
      <c r="B37" s="72" t="s">
        <v>3</v>
      </c>
      <c r="C37" s="73" t="s">
        <v>73</v>
      </c>
      <c r="D37" s="72" t="str">
        <f>IF(C37&lt;&gt;"",VLOOKUP(C37,Preciario!$A$2:$D$66,2,FALSE),"")</f>
        <v>Q1951-E</v>
      </c>
      <c r="E37" s="73" t="str">
        <f>IF(C37&lt;&gt;"",VLOOKUP(C37,Preciario!$A$2:$D$66,3,FALSE),"")</f>
        <v>Suministro y montaje de cámara IP térmica de alta sensibilidad para uso exterior con sensor de 384x288, la imagen puede ampliarse hasta 768x576, soporte y adaptador para montaje en báculo.</v>
      </c>
      <c r="F37" s="24">
        <f>IF(C37&lt;&gt;"",VLOOKUP(C37,Preciario!$A$2:$D$66,4,FALSE),"")</f>
        <v>2999</v>
      </c>
      <c r="G37" s="24">
        <f t="shared" si="3"/>
        <v>17994</v>
      </c>
      <c r="I37" s="16"/>
      <c r="J37" s="6" t="s">
        <v>3</v>
      </c>
      <c r="K37" s="15"/>
      <c r="L37" s="15"/>
      <c r="M37" s="15"/>
      <c r="N37" s="15"/>
      <c r="O37" s="7">
        <f t="shared" si="4"/>
        <v>0</v>
      </c>
    </row>
    <row r="38" spans="1:15" ht="62.5" x14ac:dyDescent="0.35">
      <c r="A38" s="71">
        <v>24</v>
      </c>
      <c r="B38" s="72" t="s">
        <v>3</v>
      </c>
      <c r="C38" s="73" t="s">
        <v>266</v>
      </c>
      <c r="D38" s="72" t="str">
        <f>IF(C38&lt;&gt;"",VLOOKUP(C38,Preciario!$A$2:$D$66,2,FALSE),"")</f>
        <v>T91B47</v>
      </c>
      <c r="E38" s="73" t="str">
        <f>IF(C38&lt;&gt;"",VLOOKUP(C38,Preciario!$A$2:$D$66,3,FALSE),"")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38" s="24">
        <f>IF(C38&lt;&gt;"",VLOOKUP(C38,Preciario!$A$2:$D$66,4,FALSE),"")</f>
        <v>89</v>
      </c>
      <c r="G38" s="24">
        <f t="shared" si="3"/>
        <v>2136</v>
      </c>
      <c r="I38" s="16"/>
      <c r="J38" s="6" t="s">
        <v>3</v>
      </c>
      <c r="K38" s="15"/>
      <c r="L38" s="15"/>
      <c r="M38" s="15"/>
      <c r="N38" s="15"/>
      <c r="O38" s="7">
        <f t="shared" ref="O38" si="5">+N38*I38</f>
        <v>0</v>
      </c>
    </row>
    <row r="39" spans="1:15" x14ac:dyDescent="0.35">
      <c r="A39" s="71">
        <v>7</v>
      </c>
      <c r="B39" s="72" t="s">
        <v>3</v>
      </c>
      <c r="C39" s="73" t="s">
        <v>31</v>
      </c>
      <c r="D39" s="72" t="str">
        <f>IF(C39&lt;&gt;"",VLOOKUP(C39,Preciario!$A$2:$D$66,2,FALSE),"")</f>
        <v>LIC_CAM</v>
      </c>
      <c r="E39" s="73" t="str">
        <f>IF(C39&lt;&gt;"",VLOOKUP(C39,Preciario!$A$2:$D$66,3,FALSE),"")</f>
        <v xml:space="preserve">Licenciamiento de cámara en servidor </v>
      </c>
      <c r="F39" s="24">
        <f>IF(C39&lt;&gt;"",VLOOKUP(C39,Preciario!$A$2:$D$66,4,FALSE),"")</f>
        <v>159.05000000000001</v>
      </c>
      <c r="G39" s="24">
        <f t="shared" si="3"/>
        <v>1113.3500000000001</v>
      </c>
      <c r="I39" s="16"/>
      <c r="J39" s="6" t="s">
        <v>3</v>
      </c>
      <c r="K39" s="15"/>
      <c r="L39" s="15"/>
      <c r="M39" s="15"/>
      <c r="N39" s="15"/>
      <c r="O39" s="7">
        <f t="shared" si="4"/>
        <v>0</v>
      </c>
    </row>
    <row r="40" spans="1:15" ht="87.5" x14ac:dyDescent="0.35">
      <c r="A40" s="71">
        <v>7</v>
      </c>
      <c r="B40" s="72" t="s">
        <v>3</v>
      </c>
      <c r="C40" s="73" t="s">
        <v>190</v>
      </c>
      <c r="D40" s="72" t="str">
        <f>IF(C40&lt;&gt;"",VLOOKUP(C40,Preciario!$A$2:$D$66,2,FALSE),"")</f>
        <v>DE.3001</v>
      </c>
      <c r="E40" s="73" t="str">
        <f>IF(C40&lt;&gt;"",VLOOKUP(C40,Preciario!$A$2:$D$66,3,FALSE),"")</f>
        <v xml:space="preserve">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 Incluida instalación y configuración. </v>
      </c>
      <c r="F40" s="24">
        <f>IF(C40&lt;&gt;"",VLOOKUP(C40,Preciario!$A$2:$D$66,4,FALSE),"")</f>
        <v>392</v>
      </c>
      <c r="G40" s="24">
        <f t="shared" si="3"/>
        <v>2744</v>
      </c>
      <c r="I40" s="16"/>
      <c r="J40" s="6" t="s">
        <v>3</v>
      </c>
      <c r="K40" s="15"/>
      <c r="L40" s="15"/>
      <c r="M40" s="15"/>
      <c r="N40" s="15"/>
      <c r="O40" s="7">
        <f t="shared" si="4"/>
        <v>0</v>
      </c>
    </row>
    <row r="41" spans="1:15" ht="50" x14ac:dyDescent="0.35">
      <c r="A41" s="71">
        <v>7</v>
      </c>
      <c r="B41" s="72" t="s">
        <v>3</v>
      </c>
      <c r="C41" s="73" t="s">
        <v>189</v>
      </c>
      <c r="D41" s="72" t="str">
        <f>IF(C41&lt;&gt;"",VLOOKUP(C41,Preciario!$A$2:$D$66,2,FALSE),"")</f>
        <v>ACAP PER_DEF</v>
      </c>
      <c r="E41" s="73" t="str">
        <f>IF(C41&lt;&gt;"",VLOOKUP(C41,Preciario!$A$2:$D$66,3,FALSE),"")</f>
        <v xml:space="preserve">Licencia de unidad única para AXIS Perimeter Defender, una aplicación de análisis de video escalable y flexible para vigilancia y protección perimetral. Incluida instalación y configuración. </v>
      </c>
      <c r="F41" s="24">
        <f>IF(C41&lt;&gt;"",VLOOKUP(C41,Preciario!$A$2:$D$66,4,FALSE),"")</f>
        <v>299</v>
      </c>
      <c r="G41" s="24">
        <f t="shared" si="3"/>
        <v>2093</v>
      </c>
      <c r="I41" s="16"/>
      <c r="J41" s="6" t="s">
        <v>3</v>
      </c>
      <c r="K41" s="15"/>
      <c r="L41" s="15"/>
      <c r="M41" s="15"/>
      <c r="N41" s="15"/>
      <c r="O41" s="7">
        <f t="shared" si="4"/>
        <v>0</v>
      </c>
    </row>
    <row r="42" spans="1:15" ht="112.5" x14ac:dyDescent="0.35">
      <c r="A42" s="71">
        <v>4</v>
      </c>
      <c r="B42" s="72" t="s">
        <v>3</v>
      </c>
      <c r="C42" s="73" t="s">
        <v>236</v>
      </c>
      <c r="D42" s="72" t="str">
        <f>IF(C42&lt;&gt;"",VLOOKUP(C42,Preciario!$A$2:$D$66,2,FALSE),"")</f>
        <v>IGS-5225-8P2S2X</v>
      </c>
      <c r="E42" s="73" t="str">
        <f>IF(C42&lt;&gt;"",VLOOKUP(C42,Preciario!$A$2:$D$66,3,FALSE),"")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42" s="24">
        <f>IF(C42&lt;&gt;"",VLOOKUP(C42,Preciario!$A$2:$D$66,4,FALSE),"")</f>
        <v>957.6</v>
      </c>
      <c r="G42" s="24">
        <f t="shared" si="3"/>
        <v>3830.4</v>
      </c>
      <c r="I42" s="16"/>
      <c r="J42" s="6" t="s">
        <v>3</v>
      </c>
      <c r="K42" s="15"/>
      <c r="L42" s="15"/>
      <c r="M42" s="15"/>
      <c r="N42" s="15"/>
      <c r="O42" s="7">
        <f t="shared" si="4"/>
        <v>0</v>
      </c>
    </row>
    <row r="43" spans="1:15" ht="14.4" customHeight="1" x14ac:dyDescent="0.35">
      <c r="A43" s="71">
        <v>8</v>
      </c>
      <c r="B43" s="72" t="s">
        <v>3</v>
      </c>
      <c r="C43" s="73" t="s">
        <v>243</v>
      </c>
      <c r="D43" s="72" t="str">
        <f>IF(C43&lt;&gt;"",VLOOKUP(C43,Preciario!$A$2:$D$66,2,FALSE),"")</f>
        <v>MTB-TSR2</v>
      </c>
      <c r="E43" s="73" t="str">
        <f>IF(C43&lt;&gt;"",VLOOKUP(C43,Preciario!$A$2:$D$66,3,FALSE),"")</f>
        <v>Módulo de fibra óptica 10GBASE-LR SFP+ de 1 puerto: 2 km (-40~75 grados C)</v>
      </c>
      <c r="F43" s="24">
        <f>IF(C43&lt;&gt;"",VLOOKUP(C43,Preciario!$A$2:$D$66,4,FALSE),"")</f>
        <v>104</v>
      </c>
      <c r="G43" s="24">
        <f t="shared" si="3"/>
        <v>832</v>
      </c>
      <c r="I43" s="16"/>
      <c r="J43" s="6" t="s">
        <v>3</v>
      </c>
      <c r="K43" s="15"/>
      <c r="L43" s="15"/>
      <c r="M43" s="15"/>
      <c r="N43" s="15"/>
      <c r="O43" s="7">
        <f t="shared" si="4"/>
        <v>0</v>
      </c>
    </row>
    <row r="44" spans="1:15" ht="50" x14ac:dyDescent="0.35">
      <c r="A44" s="71">
        <v>1</v>
      </c>
      <c r="B44" s="72" t="s">
        <v>3</v>
      </c>
      <c r="C44" s="73" t="s">
        <v>166</v>
      </c>
      <c r="D44" s="72" t="str">
        <f>IF(C44&lt;&gt;"",VLOOKUP(C44,Preciario!$A$2:$D$66,2,FALSE),"")</f>
        <v>VIDEOPORTERO</v>
      </c>
      <c r="E44" s="73" t="str">
        <f>IF(C44&lt;&gt;"",VLOOKUP(C44,Preciario!$A$2:$D$66,3,FALSE),"")</f>
        <v>Videoportero Antivandalico Ip 2N Helios Force con camara HD,protocolo SIP, 2 canales de voz, 2 micrófonos incorporados, altavoz de 10W. Sistema de cancelación de eco y un boton de llamada, incluye caja de empotrar,</v>
      </c>
      <c r="F44" s="24">
        <f>IF(C44&lt;&gt;"",VLOOKUP(C44,Preciario!$A$2:$D$66,4,FALSE),"")</f>
        <v>1436.92</v>
      </c>
      <c r="G44" s="24">
        <f t="shared" si="3"/>
        <v>1436.92</v>
      </c>
      <c r="I44" s="16"/>
      <c r="J44" s="6" t="s">
        <v>3</v>
      </c>
      <c r="K44" s="15"/>
      <c r="L44" s="15"/>
      <c r="M44" s="15"/>
      <c r="N44" s="15"/>
      <c r="O44" s="7">
        <f t="shared" ref="O44" si="6">+N44*I44</f>
        <v>0</v>
      </c>
    </row>
    <row r="45" spans="1:15" ht="75" x14ac:dyDescent="0.35">
      <c r="A45" s="71">
        <v>1</v>
      </c>
      <c r="B45" s="72" t="s">
        <v>3</v>
      </c>
      <c r="C45" s="73" t="s">
        <v>167</v>
      </c>
      <c r="D45" s="72" t="str">
        <f>IF(C45&lt;&gt;"",VLOOKUP(C45,Preciario!$A$2:$D$66,2,FALSE),"")</f>
        <v>GRANDSTREAM</v>
      </c>
      <c r="E45" s="73" t="str">
        <f>IF(C45&lt;&gt;"",VLOOKUP(C45,Preciario!$A$2:$D$66,3,FALSE),"")</f>
        <v>Terminal Grandstream para atención a videoporteros GXV3350 Teléfono multimedia IP de 16 líneas, con pantalla táctil capacitiva de 5” sistema operativo Android 7,0, Cámara inclinable CMOS de 1M, agrega dos puertos Gigabit con PoE/PoE+, Wi-Fi doble banda y Bluetooth integrado, Altavoz HD de micrófono dual con reducción de ruido.</v>
      </c>
      <c r="F45" s="24">
        <f>IF(C45&lt;&gt;"",VLOOKUP(C45,Preciario!$A$2:$D$66,4,FALSE),"")</f>
        <v>428.28</v>
      </c>
      <c r="G45" s="24">
        <f t="shared" si="3"/>
        <v>428.28</v>
      </c>
      <c r="I45" s="16"/>
      <c r="J45" s="6" t="s">
        <v>3</v>
      </c>
      <c r="K45" s="15"/>
      <c r="L45" s="15"/>
      <c r="M45" s="15"/>
      <c r="N45" s="15"/>
      <c r="O45" s="7">
        <f t="shared" si="4"/>
        <v>0</v>
      </c>
    </row>
    <row r="46" spans="1:15" ht="150" x14ac:dyDescent="0.35">
      <c r="A46" s="71">
        <v>4</v>
      </c>
      <c r="B46" s="72" t="s">
        <v>3</v>
      </c>
      <c r="C46" s="73" t="s">
        <v>42</v>
      </c>
      <c r="D46" s="72" t="str">
        <f>IF(C46&lt;&gt;"",VLOOKUP(C46,Preciario!$A$2:$D$66,2,FALSE),"")</f>
        <v>AM60x40</v>
      </c>
      <c r="E46" s="73" t="str">
        <f>IF(C46&lt;&gt;"",VLOOKUP(C46,Preciario!$A$2:$D$66,3,FALSE),"")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46" s="24">
        <f>IF(C46&lt;&gt;"",VLOOKUP(C46,Preciario!$A$2:$D$66,4,FALSE),"")</f>
        <v>862.465236111114</v>
      </c>
      <c r="G46" s="24">
        <f t="shared" si="3"/>
        <v>3449.860944444456</v>
      </c>
      <c r="I46" s="16"/>
      <c r="J46" s="6" t="s">
        <v>3</v>
      </c>
      <c r="K46" s="15"/>
      <c r="L46" s="15"/>
      <c r="M46" s="15"/>
      <c r="N46" s="15"/>
      <c r="O46" s="7">
        <f t="shared" si="4"/>
        <v>0</v>
      </c>
    </row>
    <row r="47" spans="1:15" ht="25" x14ac:dyDescent="0.35">
      <c r="A47" s="71">
        <v>100</v>
      </c>
      <c r="B47" s="72" t="s">
        <v>10</v>
      </c>
      <c r="C47" s="73" t="s">
        <v>273</v>
      </c>
      <c r="D47" s="72" t="str">
        <f>IF(C47&lt;&gt;"",VLOOKUP(C47,Preciario!$A$2:$D$66,2,FALSE),"")</f>
        <v>TUBAC32</v>
      </c>
      <c r="E47" s="73" t="str">
        <f>IF(C47&lt;&gt;"",VLOOKUP(C47,Preciario!$A$2:$D$66,3,FALSE),"")</f>
        <v>Suministro e instalación de tubo acero M32, p.p mano de obra y accesorios</v>
      </c>
      <c r="F47" s="24">
        <f>IF(C47&lt;&gt;"",VLOOKUP(C47,Preciario!$A$2:$D$66,4,FALSE),"")</f>
        <v>24.78</v>
      </c>
      <c r="G47" s="24">
        <f t="shared" si="3"/>
        <v>2478</v>
      </c>
      <c r="I47" s="16"/>
      <c r="J47" s="6" t="s">
        <v>10</v>
      </c>
      <c r="K47" s="15"/>
      <c r="L47" s="15"/>
      <c r="M47" s="15"/>
      <c r="N47" s="15"/>
      <c r="O47" s="7">
        <f t="shared" si="4"/>
        <v>0</v>
      </c>
    </row>
    <row r="48" spans="1:15" ht="25" x14ac:dyDescent="0.35">
      <c r="A48" s="71">
        <v>840</v>
      </c>
      <c r="B48" s="72" t="s">
        <v>10</v>
      </c>
      <c r="C48" s="73" t="s">
        <v>275</v>
      </c>
      <c r="D48" s="72" t="str">
        <f>IF(C48&lt;&gt;"",VLOOKUP(C48,Preciario!$A$2:$D$66,2,FALSE),"")</f>
        <v>C_ELE_3X2,5</v>
      </c>
      <c r="E48" s="73" t="str">
        <f>IF(C48&lt;&gt;"",VLOOKUP(C48,Preciario!$A$2:$D$66,3,FALSE),"")</f>
        <v>Suministro e instalación de manguera exterior RZ1-K 3x2,5mm</v>
      </c>
      <c r="F48" s="24">
        <f>IF(C48&lt;&gt;"",VLOOKUP(C48,Preciario!$A$2:$D$66,4,FALSE),"")</f>
        <v>4</v>
      </c>
      <c r="G48" s="24">
        <f t="shared" si="3"/>
        <v>3360</v>
      </c>
      <c r="I48" s="16"/>
      <c r="J48" s="6" t="s">
        <v>10</v>
      </c>
      <c r="K48" s="15"/>
      <c r="L48" s="15"/>
      <c r="M48" s="15"/>
      <c r="N48" s="15"/>
      <c r="O48" s="7">
        <f t="shared" si="4"/>
        <v>0</v>
      </c>
    </row>
    <row r="49" spans="1:15" ht="62.5" x14ac:dyDescent="0.35">
      <c r="A49" s="71">
        <v>975</v>
      </c>
      <c r="B49" s="72" t="s">
        <v>10</v>
      </c>
      <c r="C49" s="73" t="s">
        <v>277</v>
      </c>
      <c r="D49" s="72" t="str">
        <f>IF(C49&lt;&gt;"",VLOOKUP(C49,Preciario!$A$2:$D$66,2,FALSE),"")</f>
        <v>FTP_CAT6A/CAT7</v>
      </c>
      <c r="E49" s="73" t="str">
        <f>IF(C49&lt;&gt;"",VLOOKUP(C49,Preciario!$A$2:$D$66,3,FALSE),"")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49" s="24">
        <f>IF(C49&lt;&gt;"",VLOOKUP(C49,Preciario!$A$2:$D$66,4,FALSE),"")</f>
        <v>4.8</v>
      </c>
      <c r="G49" s="24">
        <f t="shared" si="3"/>
        <v>4680</v>
      </c>
      <c r="I49" s="16"/>
      <c r="J49" s="6" t="s">
        <v>10</v>
      </c>
      <c r="K49" s="15"/>
      <c r="L49" s="15"/>
      <c r="M49" s="15"/>
      <c r="N49" s="15"/>
      <c r="O49" s="7">
        <f t="shared" si="4"/>
        <v>0</v>
      </c>
    </row>
    <row r="50" spans="1:15" ht="50" x14ac:dyDescent="0.35">
      <c r="A50" s="71">
        <v>840</v>
      </c>
      <c r="B50" s="72" t="s">
        <v>10</v>
      </c>
      <c r="C50" s="73" t="s">
        <v>278</v>
      </c>
      <c r="D50" s="72" t="str">
        <f>IF(C50&lt;&gt;"",VLOOKUP(C50,Preciario!$A$2:$D$66,2,FALSE),"")</f>
        <v>FO_OS2</v>
      </c>
      <c r="E50" s="73" t="str">
        <f>IF(C50&lt;&gt;"",VLOOKUP(C50,Preciario!$A$2:$D$66,3,FALSE),"")</f>
        <v xml:space="preserve">Suministro e instalación de manguera de fibra óptica de exterior con cubierta de PE protección UV, malla-chapa antiroedor, CPR, 12 FO SM, de tipo OS2 pp. Conexionado fusiones y certificación </v>
      </c>
      <c r="F50" s="24">
        <f>IF(C50&lt;&gt;"",VLOOKUP(C50,Preciario!$A$2:$D$66,4,FALSE),"")</f>
        <v>5.2</v>
      </c>
      <c r="G50" s="24">
        <f t="shared" si="3"/>
        <v>4368</v>
      </c>
      <c r="I50" s="16"/>
      <c r="J50" s="6" t="s">
        <v>10</v>
      </c>
      <c r="K50" s="15"/>
      <c r="L50" s="15"/>
      <c r="M50" s="15"/>
      <c r="N50" s="15"/>
      <c r="O50" s="7">
        <f t="shared" si="4"/>
        <v>0</v>
      </c>
    </row>
    <row r="51" spans="1:15" ht="75" x14ac:dyDescent="0.35">
      <c r="A51" s="71">
        <v>8</v>
      </c>
      <c r="B51" s="72" t="s">
        <v>3</v>
      </c>
      <c r="C51" s="73" t="s">
        <v>234</v>
      </c>
      <c r="D51" s="72" t="str">
        <f>IF(C51&lt;&gt;"",VLOOKUP(C51,Preciario!$A$2:$D$66,2,FALSE),"")</f>
        <v>ZPT606060</v>
      </c>
      <c r="E51" s="73" t="str">
        <f>IF(C51&lt;&gt;"",VLOOKUP(C51,Preciario!$A$2:$D$66,3,FALSE),"")</f>
        <v>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v>
      </c>
      <c r="F51" s="24">
        <f>IF(C51&lt;&gt;"",VLOOKUP(C51,Preciario!$A$2:$D$66,4,FALSE),"")</f>
        <v>226.5</v>
      </c>
      <c r="G51" s="24">
        <f t="shared" si="3"/>
        <v>1812</v>
      </c>
      <c r="I51" s="16"/>
      <c r="J51" s="6" t="s">
        <v>3</v>
      </c>
      <c r="K51" s="15"/>
      <c r="L51" s="15"/>
      <c r="M51" s="15"/>
      <c r="N51" s="15"/>
      <c r="O51" s="7">
        <f>+N51*I51</f>
        <v>0</v>
      </c>
    </row>
    <row r="52" spans="1:15" ht="37.5" x14ac:dyDescent="0.35">
      <c r="A52" s="71">
        <v>1</v>
      </c>
      <c r="B52" s="72" t="s">
        <v>3</v>
      </c>
      <c r="C52" s="73" t="s">
        <v>286</v>
      </c>
      <c r="D52" s="72" t="str">
        <f>IF(C52&lt;&gt;"",VLOOKUP(C52,Preciario!$A$2:$D$66,2,FALSE),"")</f>
        <v>Río</v>
      </c>
      <c r="E52" s="73" t="str">
        <f>IF(C52&lt;&gt;"",VLOOKUP(C52,Preciario!$A$2:$D$66,3,FALSE),"")</f>
        <v>Módulo expansor de zonas, para ampliación de la capacidad de entradas de la central de intrusión ofertada. Incluida fuente de alimentación y batería</v>
      </c>
      <c r="F52" s="24">
        <f>IF(C52&lt;&gt;"",VLOOKUP(C52,Preciario!$A$2:$D$66,4,FALSE),"")</f>
        <v>350</v>
      </c>
      <c r="G52" s="24">
        <f t="shared" si="3"/>
        <v>350</v>
      </c>
      <c r="H52" s="49"/>
      <c r="I52" s="16"/>
      <c r="J52" s="6" t="s">
        <v>3</v>
      </c>
      <c r="K52" s="15"/>
      <c r="L52" s="15"/>
      <c r="M52" s="15"/>
      <c r="N52" s="15"/>
      <c r="O52" s="7">
        <f t="shared" ref="O52:O54" si="7">+N52*I52</f>
        <v>0</v>
      </c>
    </row>
    <row r="53" spans="1:15" ht="112.4" customHeight="1" x14ac:dyDescent="0.35">
      <c r="A53" s="71">
        <v>2</v>
      </c>
      <c r="B53" s="72" t="s">
        <v>3</v>
      </c>
      <c r="C53" s="73" t="s">
        <v>289</v>
      </c>
      <c r="D53" s="72" t="str">
        <f>IF(C53&lt;&gt;"",VLOOKUP(C53,Preciario!$A$2:$D$66,2,FALSE),"")</f>
        <v>MOXA Iologik E1214</v>
      </c>
      <c r="E53" s="73" t="str">
        <f>IF(C53&lt;&gt;"",VLOOKUP(C53,Preciario!$A$2:$D$66,3,FALSE),"")</f>
        <v>Módulo de E/S digitales Ethernet. Seis puertos de entrada digital y 6 puertos de salida digital mediante Relé. Entradas digitales: 6 canales. Relés: 6 canales. Aislamiento: 3k VDC o 2k Vrms. Tipo de sensor: contacto húmedo (NPN o PNP), contacto seco. Modo I/O: DI o contador de eventos. Contacto seco: Encendido: corto a GND. Apagado: abierto. Contacto húmedo (DI a COM): Encendido: 10 a 30 VCC. Apagado: 0 a 3 VCC. Según características descritas en PPT.</v>
      </c>
      <c r="F53" s="24">
        <f>IF(C53&lt;&gt;"",VLOOKUP(C53,Preciario!$A$2:$D$66,4,FALSE),"")</f>
        <v>300</v>
      </c>
      <c r="G53" s="24">
        <f t="shared" si="3"/>
        <v>600</v>
      </c>
      <c r="H53" s="49"/>
      <c r="I53" s="16"/>
      <c r="J53" s="6" t="s">
        <v>3</v>
      </c>
      <c r="K53" s="15"/>
      <c r="L53" s="15"/>
      <c r="M53" s="15"/>
      <c r="N53" s="15"/>
      <c r="O53" s="7">
        <f t="shared" si="7"/>
        <v>0</v>
      </c>
    </row>
    <row r="54" spans="1:15" ht="25" x14ac:dyDescent="0.35">
      <c r="A54" s="71">
        <v>1</v>
      </c>
      <c r="B54" s="72" t="s">
        <v>11</v>
      </c>
      <c r="C54" s="73" t="s">
        <v>307</v>
      </c>
      <c r="D54" s="72" t="s">
        <v>164</v>
      </c>
      <c r="E54" s="73" t="str">
        <f>IF(C54&lt;&gt;"",VLOOKUP(C54,Preciario!$A$2:$D$66,3,FALSE),"")</f>
        <v>Partida de mano de obra para configuración módulos IO en abonado CRA</v>
      </c>
      <c r="F54" s="24">
        <v>350</v>
      </c>
      <c r="G54" s="24">
        <f t="shared" si="3"/>
        <v>350</v>
      </c>
      <c r="I54" s="16"/>
      <c r="J54" s="6" t="s">
        <v>11</v>
      </c>
      <c r="K54" s="15"/>
      <c r="L54" s="15"/>
      <c r="M54" s="15"/>
      <c r="N54" s="15"/>
      <c r="O54" s="7">
        <f t="shared" si="7"/>
        <v>0</v>
      </c>
    </row>
    <row r="55" spans="1:15" ht="25" x14ac:dyDescent="0.35">
      <c r="A55" s="71">
        <f>'Presupuesto Total'!D32</f>
        <v>1</v>
      </c>
      <c r="B55" s="72" t="s">
        <v>11</v>
      </c>
      <c r="C55" s="73" t="s">
        <v>163</v>
      </c>
      <c r="D55" s="72" t="s">
        <v>164</v>
      </c>
      <c r="E55" s="73" t="str">
        <f>IF(C55&lt;&gt;"",VLOOKUP(C55,Preciario!$A$2:$D$66,3,FALSE),"")</f>
        <v>Partida ayudas auxiliares en equipamiento y mano de obra en sistemas de energía</v>
      </c>
      <c r="F55" s="24">
        <v>3646.9184999999998</v>
      </c>
      <c r="G55" s="24">
        <f t="shared" si="3"/>
        <v>3646.9184999999998</v>
      </c>
      <c r="I55" s="16"/>
      <c r="J55" s="6" t="s">
        <v>11</v>
      </c>
      <c r="K55" s="15"/>
      <c r="L55" s="15"/>
      <c r="M55" s="15"/>
      <c r="N55" s="15"/>
      <c r="O55" s="7">
        <f t="shared" si="4"/>
        <v>0</v>
      </c>
    </row>
    <row r="56" spans="1:15" ht="25" x14ac:dyDescent="0.35">
      <c r="A56" s="71">
        <f>'Presupuesto Total'!D33</f>
        <v>1</v>
      </c>
      <c r="B56" s="72" t="s">
        <v>11</v>
      </c>
      <c r="C56" s="73" t="s">
        <v>185</v>
      </c>
      <c r="D56" s="72" t="s">
        <v>162</v>
      </c>
      <c r="E56" s="73" t="str">
        <f>IF(C56&lt;&gt;"",VLOOKUP(C56,Preciario!$A$2:$D$66,3,FALSE),"")</f>
        <v>Partida ayudas auxiliares en equipamiento y mano de obra en albañilería</v>
      </c>
      <c r="F56" s="24">
        <v>3646.9184999999998</v>
      </c>
      <c r="G56" s="24">
        <f t="shared" si="3"/>
        <v>3646.9184999999998</v>
      </c>
      <c r="I56" s="16"/>
      <c r="J56" s="6" t="s">
        <v>11</v>
      </c>
      <c r="K56" s="15"/>
      <c r="L56" s="15"/>
      <c r="M56" s="15"/>
      <c r="N56" s="15"/>
      <c r="O56" s="7">
        <f t="shared" si="4"/>
        <v>0</v>
      </c>
    </row>
    <row r="57" spans="1:15" x14ac:dyDescent="0.35">
      <c r="A57" s="8"/>
      <c r="B57" s="8"/>
      <c r="C57" s="9"/>
      <c r="D57" s="9"/>
      <c r="E57" s="9"/>
      <c r="F57" s="19" t="s">
        <v>4</v>
      </c>
      <c r="G57" s="20">
        <f>SUM(G33:G56)</f>
        <v>78261.647944444456</v>
      </c>
      <c r="I57" s="8"/>
      <c r="J57" s="8"/>
      <c r="K57" s="9"/>
      <c r="L57" s="9"/>
      <c r="M57" s="9"/>
      <c r="N57" s="19" t="s">
        <v>4</v>
      </c>
      <c r="O57" s="20">
        <f>SUM(O33:O56)</f>
        <v>0</v>
      </c>
    </row>
    <row r="58" spans="1:15" x14ac:dyDescent="0.35">
      <c r="A58" s="10"/>
      <c r="B58" s="10"/>
      <c r="C58" s="11"/>
      <c r="D58" s="11"/>
      <c r="E58" s="11"/>
      <c r="F58" s="11"/>
      <c r="G58" s="11"/>
      <c r="I58" s="10"/>
      <c r="J58" s="10"/>
      <c r="K58" s="11"/>
      <c r="L58" s="11"/>
      <c r="M58" s="11"/>
      <c r="N58" s="11"/>
      <c r="O58" s="11"/>
    </row>
    <row r="59" spans="1:15" ht="27" customHeight="1" x14ac:dyDescent="0.35">
      <c r="A59" s="194" t="s">
        <v>129</v>
      </c>
      <c r="B59" s="195"/>
      <c r="C59" s="195"/>
      <c r="D59" s="195"/>
      <c r="E59" s="195"/>
      <c r="F59" s="196"/>
      <c r="G59" s="22">
        <f>G29+G57</f>
        <v>83791.391944444462</v>
      </c>
      <c r="I59" s="194" t="s">
        <v>129</v>
      </c>
      <c r="J59" s="195"/>
      <c r="K59" s="195"/>
      <c r="L59" s="195"/>
      <c r="M59" s="195"/>
      <c r="N59" s="196"/>
      <c r="O59" s="25">
        <f>O29+O57</f>
        <v>0</v>
      </c>
    </row>
  </sheetData>
  <sheetProtection selectLockedCells="1"/>
  <mergeCells count="14">
    <mergeCell ref="D3:K6"/>
    <mergeCell ref="A9:O9"/>
    <mergeCell ref="C11:D11"/>
    <mergeCell ref="K11:L11"/>
    <mergeCell ref="A18:C18"/>
    <mergeCell ref="I18:K18"/>
    <mergeCell ref="A59:F59"/>
    <mergeCell ref="I59:N59"/>
    <mergeCell ref="A19:B19"/>
    <mergeCell ref="I19:J19"/>
    <mergeCell ref="A31:C31"/>
    <mergeCell ref="I31:K31"/>
    <mergeCell ref="A32:B32"/>
    <mergeCell ref="I32:J32"/>
  </mergeCells>
  <dataValidations count="3">
    <dataValidation type="decimal" allowBlank="1" showErrorMessage="1" error="Introducir Precio Unitario" sqref="N29:N31 N57" xr:uid="{F96DDFFD-6AC5-4403-A2E3-18110B612FD1}">
      <formula1>1</formula1>
      <formula2>100000</formula2>
    </dataValidation>
    <dataValidation type="decimal" allowBlank="1" showInputMessage="1" showErrorMessage="1" error="Introducir Precio Unitario" sqref="N19 N32" xr:uid="{C8B604F1-1595-40AD-BD10-D401A05C58DE}">
      <formula1>1</formula1>
      <formula2>100000</formula2>
    </dataValidation>
    <dataValidation type="whole" allowBlank="1" showInputMessage="1" showErrorMessage="1" error="Introducir Unidades" sqref="I57 I29:I30 I19 I32" xr:uid="{279E8918-0DE9-4CB4-BD22-E6C0BABCEE2B}">
      <formula1>1</formula1>
      <formula2>1000</formula2>
    </dataValidation>
  </dataValidations>
  <hyperlinks>
    <hyperlink ref="H11" location="'Presupuesto Total'!A1" display="ÍNDICE" xr:uid="{D89A3A10-D754-49F2-A855-51D11D853D8F}"/>
  </hyperlink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52CA2-C2C8-45DA-B2F0-3D93457F5413}">
  <dimension ref="A1:D14"/>
  <sheetViews>
    <sheetView zoomScale="150" zoomScaleNormal="150" workbookViewId="0">
      <selection activeCell="B7" sqref="B7"/>
    </sheetView>
  </sheetViews>
  <sheetFormatPr baseColWidth="10" defaultRowHeight="14.5" x14ac:dyDescent="0.35"/>
  <cols>
    <col min="1" max="1" width="34.08984375" bestFit="1" customWidth="1"/>
    <col min="2" max="2" width="12.08984375" bestFit="1" customWidth="1"/>
    <col min="3" max="3" width="19.453125" bestFit="1" customWidth="1"/>
    <col min="4" max="4" width="11.54296875" bestFit="1" customWidth="1"/>
  </cols>
  <sheetData>
    <row r="1" spans="1:4" x14ac:dyDescent="0.35">
      <c r="A1" s="208" t="s">
        <v>68</v>
      </c>
      <c r="B1" s="209"/>
      <c r="C1" s="209"/>
      <c r="D1" s="210"/>
    </row>
    <row r="2" spans="1:4" ht="15" thickBot="1" x14ac:dyDescent="0.4">
      <c r="A2" s="211"/>
      <c r="B2" s="212"/>
      <c r="C2" s="212"/>
      <c r="D2" s="213"/>
    </row>
    <row r="3" spans="1:4" x14ac:dyDescent="0.35">
      <c r="A3" s="30" t="s">
        <v>50</v>
      </c>
      <c r="B3" s="30" t="s">
        <v>51</v>
      </c>
      <c r="C3" s="30" t="s">
        <v>52</v>
      </c>
      <c r="D3" s="31">
        <v>500</v>
      </c>
    </row>
    <row r="4" spans="1:4" x14ac:dyDescent="0.35">
      <c r="A4" s="27" t="s">
        <v>53</v>
      </c>
      <c r="B4" s="27" t="s">
        <v>51</v>
      </c>
      <c r="C4" s="27" t="s">
        <v>54</v>
      </c>
      <c r="D4" s="28">
        <v>13</v>
      </c>
    </row>
    <row r="5" spans="1:4" x14ac:dyDescent="0.35">
      <c r="A5" s="27" t="s">
        <v>55</v>
      </c>
      <c r="B5" s="27" t="s">
        <v>51</v>
      </c>
      <c r="C5" s="27" t="s">
        <v>56</v>
      </c>
      <c r="D5" s="28">
        <v>11.3</v>
      </c>
    </row>
    <row r="6" spans="1:4" x14ac:dyDescent="0.35">
      <c r="A6" s="27" t="s">
        <v>23</v>
      </c>
      <c r="B6" s="27" t="s">
        <v>252</v>
      </c>
      <c r="C6" s="27"/>
      <c r="D6" s="28">
        <v>310</v>
      </c>
    </row>
    <row r="7" spans="1:4" x14ac:dyDescent="0.35">
      <c r="A7" s="27" t="s">
        <v>57</v>
      </c>
      <c r="B7" s="27" t="s">
        <v>58</v>
      </c>
      <c r="C7" s="27" t="s">
        <v>59</v>
      </c>
      <c r="D7" s="28">
        <v>58.65</v>
      </c>
    </row>
    <row r="8" spans="1:4" x14ac:dyDescent="0.35">
      <c r="A8" s="27" t="s">
        <v>60</v>
      </c>
      <c r="B8" s="27" t="s">
        <v>58</v>
      </c>
      <c r="C8" s="27" t="s">
        <v>61</v>
      </c>
      <c r="D8" s="28">
        <v>1.08</v>
      </c>
    </row>
    <row r="9" spans="1:4" x14ac:dyDescent="0.35">
      <c r="A9" s="27" t="s">
        <v>39</v>
      </c>
      <c r="B9" s="27" t="s">
        <v>62</v>
      </c>
      <c r="C9" s="27" t="s">
        <v>63</v>
      </c>
      <c r="D9" s="28">
        <v>92</v>
      </c>
    </row>
    <row r="10" spans="1:4" x14ac:dyDescent="0.35">
      <c r="A10" s="27" t="s">
        <v>40</v>
      </c>
      <c r="B10" s="27" t="s">
        <v>64</v>
      </c>
      <c r="C10" s="27" t="s">
        <v>65</v>
      </c>
      <c r="D10" s="28">
        <v>0.5</v>
      </c>
    </row>
    <row r="11" spans="1:4" x14ac:dyDescent="0.35">
      <c r="A11" s="27" t="s">
        <v>175</v>
      </c>
      <c r="B11" s="27" t="s">
        <v>51</v>
      </c>
      <c r="C11" s="27" t="s">
        <v>176</v>
      </c>
      <c r="D11" s="28">
        <v>60</v>
      </c>
    </row>
    <row r="12" spans="1:4" x14ac:dyDescent="0.35">
      <c r="A12" s="27" t="s">
        <v>24</v>
      </c>
      <c r="B12" s="28" t="s">
        <v>24</v>
      </c>
      <c r="C12" s="28" t="s">
        <v>25</v>
      </c>
      <c r="D12" s="28">
        <v>18</v>
      </c>
    </row>
    <row r="13" spans="1:4" ht="15" thickBot="1" x14ac:dyDescent="0.4">
      <c r="A13" s="33" t="s">
        <v>66</v>
      </c>
      <c r="B13" s="33" t="s">
        <v>51</v>
      </c>
      <c r="C13" s="33" t="s">
        <v>67</v>
      </c>
      <c r="D13" s="34">
        <v>26</v>
      </c>
    </row>
    <row r="14" spans="1:4" ht="15" thickBot="1" x14ac:dyDescent="0.4">
      <c r="A14" s="29"/>
      <c r="B14" s="29"/>
      <c r="C14" s="29"/>
      <c r="D14" s="32" t="s">
        <v>7</v>
      </c>
    </row>
  </sheetData>
  <mergeCells count="1">
    <mergeCell ref="A1:D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2C894-6D79-49B1-A3B9-FF3AE8CDF324}">
  <dimension ref="A1:E66"/>
  <sheetViews>
    <sheetView topLeftCell="A46" zoomScale="115" zoomScaleNormal="115" workbookViewId="0">
      <selection activeCell="D50" sqref="D50"/>
    </sheetView>
  </sheetViews>
  <sheetFormatPr baseColWidth="10" defaultColWidth="10.90625" defaultRowHeight="14.5" x14ac:dyDescent="0.35"/>
  <cols>
    <col min="1" max="1" width="61" style="104" customWidth="1"/>
    <col min="2" max="2" width="18.08984375" style="104" bestFit="1" customWidth="1"/>
    <col min="3" max="3" width="58.54296875" style="104" customWidth="1"/>
    <col min="4" max="4" width="11.54296875" style="104" bestFit="1" customWidth="1"/>
    <col min="5" max="16384" width="10.90625" style="104"/>
  </cols>
  <sheetData>
    <row r="1" spans="1:5" ht="15" thickBot="1" x14ac:dyDescent="0.4">
      <c r="A1" s="113" t="s">
        <v>26</v>
      </c>
      <c r="B1" s="114" t="s">
        <v>77</v>
      </c>
      <c r="C1" s="114" t="s">
        <v>255</v>
      </c>
      <c r="D1" s="115" t="s">
        <v>27</v>
      </c>
    </row>
    <row r="2" spans="1:5" ht="58" x14ac:dyDescent="0.35">
      <c r="A2" s="116" t="s">
        <v>28</v>
      </c>
      <c r="B2" s="117" t="s">
        <v>76</v>
      </c>
      <c r="C2" s="118" t="s">
        <v>268</v>
      </c>
      <c r="D2" s="119">
        <v>720</v>
      </c>
    </row>
    <row r="3" spans="1:5" ht="29" x14ac:dyDescent="0.35">
      <c r="A3" s="120" t="s">
        <v>29</v>
      </c>
      <c r="B3" s="121" t="s">
        <v>160</v>
      </c>
      <c r="C3" s="122" t="s">
        <v>159</v>
      </c>
      <c r="D3" s="123">
        <v>330</v>
      </c>
    </row>
    <row r="4" spans="1:5" ht="87" x14ac:dyDescent="0.35">
      <c r="A4" s="120" t="s">
        <v>29</v>
      </c>
      <c r="B4" s="121" t="s">
        <v>22</v>
      </c>
      <c r="C4" s="122" t="s">
        <v>21</v>
      </c>
      <c r="D4" s="123">
        <v>442.54</v>
      </c>
    </row>
    <row r="5" spans="1:5" ht="72.5" x14ac:dyDescent="0.35">
      <c r="A5" s="120" t="s">
        <v>234</v>
      </c>
      <c r="B5" s="124" t="s">
        <v>226</v>
      </c>
      <c r="C5" s="125" t="s">
        <v>227</v>
      </c>
      <c r="D5" s="126">
        <v>226.5</v>
      </c>
    </row>
    <row r="6" spans="1:5" ht="105" customHeight="1" x14ac:dyDescent="0.35">
      <c r="A6" s="120" t="s">
        <v>228</v>
      </c>
      <c r="B6" s="124" t="s">
        <v>229</v>
      </c>
      <c r="C6" s="125" t="s">
        <v>230</v>
      </c>
      <c r="D6" s="126">
        <v>78.930000000000007</v>
      </c>
    </row>
    <row r="7" spans="1:5" ht="43.5" x14ac:dyDescent="0.35">
      <c r="A7" s="120" t="s">
        <v>233</v>
      </c>
      <c r="B7" s="124" t="s">
        <v>231</v>
      </c>
      <c r="C7" s="125" t="s">
        <v>232</v>
      </c>
      <c r="D7" s="126">
        <v>325.8</v>
      </c>
    </row>
    <row r="8" spans="1:5" x14ac:dyDescent="0.35">
      <c r="A8" s="120" t="s">
        <v>30</v>
      </c>
      <c r="B8" s="124"/>
      <c r="C8" s="124"/>
      <c r="D8" s="126">
        <v>5000</v>
      </c>
    </row>
    <row r="9" spans="1:5" x14ac:dyDescent="0.35">
      <c r="A9" s="120" t="s">
        <v>217</v>
      </c>
      <c r="B9" s="124" t="s">
        <v>219</v>
      </c>
      <c r="C9" s="127" t="s">
        <v>221</v>
      </c>
      <c r="D9" s="126">
        <f>E9*0.925</f>
        <v>55.5</v>
      </c>
      <c r="E9" s="128">
        <v>60</v>
      </c>
    </row>
    <row r="10" spans="1:5" x14ac:dyDescent="0.35">
      <c r="A10" s="120" t="s">
        <v>218</v>
      </c>
      <c r="B10" s="124" t="s">
        <v>220</v>
      </c>
      <c r="C10" s="127" t="s">
        <v>222</v>
      </c>
      <c r="D10" s="126">
        <f t="shared" ref="D10:D16" si="0">E10*0.925</f>
        <v>51.800000000000004</v>
      </c>
      <c r="E10" s="128">
        <v>56</v>
      </c>
    </row>
    <row r="11" spans="1:5" x14ac:dyDescent="0.35">
      <c r="A11" s="120" t="s">
        <v>225</v>
      </c>
      <c r="B11" s="124" t="s">
        <v>216</v>
      </c>
      <c r="C11" s="127" t="s">
        <v>215</v>
      </c>
      <c r="D11" s="126">
        <f t="shared" si="0"/>
        <v>696.0625</v>
      </c>
      <c r="E11" s="128">
        <v>752.5</v>
      </c>
    </row>
    <row r="12" spans="1:5" x14ac:dyDescent="0.35">
      <c r="A12" s="120" t="s">
        <v>210</v>
      </c>
      <c r="B12" s="124" t="s">
        <v>197</v>
      </c>
      <c r="C12" s="127" t="s">
        <v>202</v>
      </c>
      <c r="D12" s="126">
        <f t="shared" si="0"/>
        <v>236.8</v>
      </c>
      <c r="E12" s="128">
        <v>256</v>
      </c>
    </row>
    <row r="13" spans="1:5" x14ac:dyDescent="0.35">
      <c r="A13" s="120" t="s">
        <v>211</v>
      </c>
      <c r="B13" s="124" t="s">
        <v>198</v>
      </c>
      <c r="C13" s="127" t="s">
        <v>203</v>
      </c>
      <c r="D13" s="126">
        <f t="shared" si="0"/>
        <v>427.35</v>
      </c>
      <c r="E13" s="128">
        <v>462</v>
      </c>
    </row>
    <row r="14" spans="1:5" x14ac:dyDescent="0.35">
      <c r="A14" s="120" t="s">
        <v>212</v>
      </c>
      <c r="B14" s="124" t="s">
        <v>199</v>
      </c>
      <c r="C14" s="127" t="s">
        <v>204</v>
      </c>
      <c r="D14" s="126">
        <f t="shared" si="0"/>
        <v>514.30000000000007</v>
      </c>
      <c r="E14" s="128">
        <v>556</v>
      </c>
    </row>
    <row r="15" spans="1:5" x14ac:dyDescent="0.35">
      <c r="A15" s="120" t="s">
        <v>213</v>
      </c>
      <c r="B15" s="124" t="s">
        <v>200</v>
      </c>
      <c r="C15" s="127" t="s">
        <v>205</v>
      </c>
      <c r="D15" s="126">
        <f t="shared" si="0"/>
        <v>995.30000000000007</v>
      </c>
      <c r="E15" s="128">
        <v>1076</v>
      </c>
    </row>
    <row r="16" spans="1:5" x14ac:dyDescent="0.35">
      <c r="A16" s="120" t="s">
        <v>214</v>
      </c>
      <c r="B16" s="124" t="s">
        <v>201</v>
      </c>
      <c r="C16" s="127" t="s">
        <v>206</v>
      </c>
      <c r="D16" s="126">
        <f t="shared" si="0"/>
        <v>1112.1922500000001</v>
      </c>
      <c r="E16" s="128">
        <v>1202.3699999999999</v>
      </c>
    </row>
    <row r="17" spans="1:4" ht="55.4" customHeight="1" x14ac:dyDescent="0.35">
      <c r="A17" s="120" t="s">
        <v>73</v>
      </c>
      <c r="B17" s="121" t="s">
        <v>186</v>
      </c>
      <c r="C17" s="122" t="s">
        <v>188</v>
      </c>
      <c r="D17" s="123">
        <v>2999</v>
      </c>
    </row>
    <row r="18" spans="1:4" ht="130.5" x14ac:dyDescent="0.35">
      <c r="A18" s="120" t="s">
        <v>72</v>
      </c>
      <c r="B18" s="121" t="s">
        <v>187</v>
      </c>
      <c r="C18" s="122" t="s">
        <v>263</v>
      </c>
      <c r="D18" s="123">
        <v>749</v>
      </c>
    </row>
    <row r="19" spans="1:4" ht="58" x14ac:dyDescent="0.35">
      <c r="A19" s="120" t="s">
        <v>266</v>
      </c>
      <c r="B19" s="121" t="s">
        <v>264</v>
      </c>
      <c r="C19" s="122" t="s">
        <v>265</v>
      </c>
      <c r="D19" s="123">
        <v>89</v>
      </c>
    </row>
    <row r="20" spans="1:4" ht="58" x14ac:dyDescent="0.35">
      <c r="A20" s="129" t="s">
        <v>74</v>
      </c>
      <c r="B20" s="130" t="s">
        <v>79</v>
      </c>
      <c r="C20" s="131" t="s">
        <v>78</v>
      </c>
      <c r="D20" s="132">
        <v>480</v>
      </c>
    </row>
    <row r="21" spans="1:4" ht="43.5" x14ac:dyDescent="0.35">
      <c r="A21" s="120" t="s">
        <v>189</v>
      </c>
      <c r="B21" s="133" t="s">
        <v>192</v>
      </c>
      <c r="C21" s="122" t="s">
        <v>301</v>
      </c>
      <c r="D21" s="123">
        <v>299</v>
      </c>
    </row>
    <row r="22" spans="1:4" ht="101.5" x14ac:dyDescent="0.35">
      <c r="A22" s="120" t="s">
        <v>190</v>
      </c>
      <c r="B22" s="133" t="s">
        <v>191</v>
      </c>
      <c r="C22" s="122" t="s">
        <v>302</v>
      </c>
      <c r="D22" s="123">
        <v>392</v>
      </c>
    </row>
    <row r="23" spans="1:4" x14ac:dyDescent="0.35">
      <c r="A23" s="120" t="s">
        <v>31</v>
      </c>
      <c r="B23" s="121" t="s">
        <v>83</v>
      </c>
      <c r="C23" s="134" t="s">
        <v>257</v>
      </c>
      <c r="D23" s="123">
        <v>159.05000000000001</v>
      </c>
    </row>
    <row r="24" spans="1:4" x14ac:dyDescent="0.35">
      <c r="A24" s="120" t="s">
        <v>32</v>
      </c>
      <c r="B24" s="121" t="s">
        <v>84</v>
      </c>
      <c r="C24" s="134" t="s">
        <v>258</v>
      </c>
      <c r="D24" s="123">
        <v>700</v>
      </c>
    </row>
    <row r="25" spans="1:4" x14ac:dyDescent="0.35">
      <c r="A25" s="120" t="s">
        <v>33</v>
      </c>
      <c r="B25" s="121" t="s">
        <v>85</v>
      </c>
      <c r="C25" s="134" t="s">
        <v>259</v>
      </c>
      <c r="D25" s="123">
        <v>100</v>
      </c>
    </row>
    <row r="26" spans="1:4" ht="99.65" customHeight="1" x14ac:dyDescent="0.35">
      <c r="A26" s="120" t="s">
        <v>23</v>
      </c>
      <c r="B26" s="121" t="s">
        <v>86</v>
      </c>
      <c r="C26" s="122" t="s">
        <v>96</v>
      </c>
      <c r="D26" s="123">
        <v>450</v>
      </c>
    </row>
    <row r="27" spans="1:4" ht="114" customHeight="1" x14ac:dyDescent="0.35">
      <c r="A27" s="120" t="s">
        <v>155</v>
      </c>
      <c r="B27" s="121" t="s">
        <v>157</v>
      </c>
      <c r="C27" s="122" t="s">
        <v>173</v>
      </c>
      <c r="D27" s="123">
        <v>2446.15</v>
      </c>
    </row>
    <row r="28" spans="1:4" ht="101.5" x14ac:dyDescent="0.35">
      <c r="A28" s="120" t="s">
        <v>156</v>
      </c>
      <c r="B28" s="121" t="s">
        <v>158</v>
      </c>
      <c r="C28" s="122" t="s">
        <v>174</v>
      </c>
      <c r="D28" s="123">
        <v>2646.15</v>
      </c>
    </row>
    <row r="29" spans="1:4" ht="116" x14ac:dyDescent="0.35">
      <c r="A29" s="135" t="s">
        <v>236</v>
      </c>
      <c r="B29" s="136" t="s">
        <v>235</v>
      </c>
      <c r="C29" s="137" t="s">
        <v>237</v>
      </c>
      <c r="D29" s="138">
        <v>957.6</v>
      </c>
    </row>
    <row r="30" spans="1:4" ht="29" x14ac:dyDescent="0.35">
      <c r="A30" s="135" t="s">
        <v>238</v>
      </c>
      <c r="B30" s="136" t="s">
        <v>239</v>
      </c>
      <c r="C30" s="137" t="s">
        <v>246</v>
      </c>
      <c r="D30" s="138">
        <v>270</v>
      </c>
    </row>
    <row r="31" spans="1:4" ht="29" x14ac:dyDescent="0.35">
      <c r="A31" s="135" t="s">
        <v>242</v>
      </c>
      <c r="B31" s="136" t="s">
        <v>241</v>
      </c>
      <c r="C31" s="137" t="s">
        <v>240</v>
      </c>
      <c r="D31" s="138">
        <v>105</v>
      </c>
    </row>
    <row r="32" spans="1:4" ht="29" x14ac:dyDescent="0.35">
      <c r="A32" s="135" t="s">
        <v>243</v>
      </c>
      <c r="B32" s="136" t="s">
        <v>244</v>
      </c>
      <c r="C32" s="137" t="s">
        <v>245</v>
      </c>
      <c r="D32" s="138">
        <v>104</v>
      </c>
    </row>
    <row r="33" spans="1:4" ht="43.5" x14ac:dyDescent="0.35">
      <c r="A33" s="135" t="s">
        <v>247</v>
      </c>
      <c r="B33" s="136" t="s">
        <v>248</v>
      </c>
      <c r="C33" s="137" t="s">
        <v>249</v>
      </c>
      <c r="D33" s="138">
        <v>52</v>
      </c>
    </row>
    <row r="34" spans="1:4" ht="101.5" x14ac:dyDescent="0.35">
      <c r="A34" s="120" t="s">
        <v>254</v>
      </c>
      <c r="B34" s="121" t="s">
        <v>177</v>
      </c>
      <c r="C34" s="122" t="s">
        <v>181</v>
      </c>
      <c r="D34" s="123">
        <v>5031.95</v>
      </c>
    </row>
    <row r="35" spans="1:4" ht="101.5" x14ac:dyDescent="0.35">
      <c r="A35" s="120" t="s">
        <v>34</v>
      </c>
      <c r="B35" s="121" t="s">
        <v>87</v>
      </c>
      <c r="C35" s="122" t="s">
        <v>172</v>
      </c>
      <c r="D35" s="123">
        <v>153.97</v>
      </c>
    </row>
    <row r="36" spans="1:4" ht="101.5" x14ac:dyDescent="0.35">
      <c r="A36" s="120" t="s">
        <v>35</v>
      </c>
      <c r="B36" s="121" t="s">
        <v>88</v>
      </c>
      <c r="C36" s="122" t="s">
        <v>172</v>
      </c>
      <c r="D36" s="123">
        <v>166.12</v>
      </c>
    </row>
    <row r="37" spans="1:4" ht="43.5" x14ac:dyDescent="0.35">
      <c r="A37" s="120" t="s">
        <v>175</v>
      </c>
      <c r="B37" s="121" t="s">
        <v>176</v>
      </c>
      <c r="C37" s="122" t="s">
        <v>178</v>
      </c>
      <c r="D37" s="139">
        <v>209</v>
      </c>
    </row>
    <row r="38" spans="1:4" ht="29" x14ac:dyDescent="0.35">
      <c r="A38" s="120" t="s">
        <v>253</v>
      </c>
      <c r="B38" s="121" t="s">
        <v>180</v>
      </c>
      <c r="C38" s="122" t="s">
        <v>179</v>
      </c>
      <c r="D38" s="139">
        <v>229</v>
      </c>
    </row>
    <row r="39" spans="1:4" x14ac:dyDescent="0.35">
      <c r="A39" s="120" t="s">
        <v>36</v>
      </c>
      <c r="B39" s="120" t="s">
        <v>89</v>
      </c>
      <c r="C39" s="140" t="s">
        <v>260</v>
      </c>
      <c r="D39" s="141">
        <v>1750</v>
      </c>
    </row>
    <row r="40" spans="1:4" ht="58" x14ac:dyDescent="0.35">
      <c r="A40" s="120" t="s">
        <v>166</v>
      </c>
      <c r="B40" s="124" t="s">
        <v>168</v>
      </c>
      <c r="C40" s="125" t="s">
        <v>170</v>
      </c>
      <c r="D40" s="142">
        <v>1436.92</v>
      </c>
    </row>
    <row r="41" spans="1:4" ht="87" x14ac:dyDescent="0.35">
      <c r="A41" s="120" t="s">
        <v>167</v>
      </c>
      <c r="B41" s="121" t="s">
        <v>169</v>
      </c>
      <c r="C41" s="122" t="s">
        <v>171</v>
      </c>
      <c r="D41" s="143">
        <v>428.28</v>
      </c>
    </row>
    <row r="42" spans="1:4" x14ac:dyDescent="0.35">
      <c r="A42" s="120" t="s">
        <v>37</v>
      </c>
      <c r="B42" s="121"/>
      <c r="C42" s="121"/>
      <c r="D42" s="123">
        <v>550</v>
      </c>
    </row>
    <row r="43" spans="1:4" ht="43.5" x14ac:dyDescent="0.35">
      <c r="A43" s="120" t="s">
        <v>286</v>
      </c>
      <c r="B43" s="121" t="s">
        <v>288</v>
      </c>
      <c r="C43" s="122" t="s">
        <v>287</v>
      </c>
      <c r="D43" s="123">
        <v>350</v>
      </c>
    </row>
    <row r="44" spans="1:4" ht="101.5" x14ac:dyDescent="0.35">
      <c r="A44" s="120" t="s">
        <v>289</v>
      </c>
      <c r="B44" s="121" t="s">
        <v>305</v>
      </c>
      <c r="C44" s="122" t="s">
        <v>306</v>
      </c>
      <c r="D44" s="123">
        <v>300</v>
      </c>
    </row>
    <row r="45" spans="1:4" x14ac:dyDescent="0.35">
      <c r="A45" s="120" t="s">
        <v>38</v>
      </c>
      <c r="B45" s="121"/>
      <c r="C45" s="122"/>
      <c r="D45" s="123">
        <v>240</v>
      </c>
    </row>
    <row r="46" spans="1:4" x14ac:dyDescent="0.35">
      <c r="A46" s="120" t="s">
        <v>39</v>
      </c>
      <c r="B46" s="121"/>
      <c r="C46" s="122"/>
      <c r="D46" s="123">
        <v>55</v>
      </c>
    </row>
    <row r="47" spans="1:4" x14ac:dyDescent="0.35">
      <c r="A47" s="120" t="s">
        <v>40</v>
      </c>
      <c r="B47" s="121"/>
      <c r="C47" s="122"/>
      <c r="D47" s="123">
        <v>120</v>
      </c>
    </row>
    <row r="48" spans="1:4" x14ac:dyDescent="0.35">
      <c r="A48" s="120" t="s">
        <v>41</v>
      </c>
      <c r="B48" s="121"/>
      <c r="C48" s="122"/>
      <c r="D48" s="123">
        <v>105</v>
      </c>
    </row>
    <row r="49" spans="1:4" ht="183.65" customHeight="1" x14ac:dyDescent="0.35">
      <c r="A49" s="120" t="s">
        <v>42</v>
      </c>
      <c r="B49" s="121" t="s">
        <v>80</v>
      </c>
      <c r="C49" s="122" t="s">
        <v>267</v>
      </c>
      <c r="D49" s="123">
        <f>840+22.465236111114</f>
        <v>862.465236111114</v>
      </c>
    </row>
    <row r="50" spans="1:4" x14ac:dyDescent="0.35">
      <c r="A50" s="120" t="s">
        <v>43</v>
      </c>
      <c r="B50" s="121" t="s">
        <v>95</v>
      </c>
      <c r="C50" s="134" t="s">
        <v>261</v>
      </c>
      <c r="D50" s="123">
        <v>45</v>
      </c>
    </row>
    <row r="51" spans="1:4" x14ac:dyDescent="0.35">
      <c r="A51" s="120" t="s">
        <v>44</v>
      </c>
      <c r="B51" s="121" t="s">
        <v>71</v>
      </c>
      <c r="C51" s="121"/>
      <c r="D51" s="144" t="s">
        <v>75</v>
      </c>
    </row>
    <row r="52" spans="1:4" x14ac:dyDescent="0.35">
      <c r="A52" s="120" t="s">
        <v>45</v>
      </c>
      <c r="B52" s="121" t="s">
        <v>90</v>
      </c>
      <c r="C52" s="121"/>
      <c r="D52" s="144" t="s">
        <v>75</v>
      </c>
    </row>
    <row r="53" spans="1:4" x14ac:dyDescent="0.35">
      <c r="A53" s="120" t="s">
        <v>46</v>
      </c>
      <c r="B53" s="121"/>
      <c r="C53" s="121"/>
      <c r="D53" s="123">
        <v>5000</v>
      </c>
    </row>
    <row r="54" spans="1:4" ht="29" x14ac:dyDescent="0.35">
      <c r="A54" s="145" t="s">
        <v>47</v>
      </c>
      <c r="B54" s="146"/>
      <c r="C54" s="146"/>
      <c r="D54" s="123">
        <v>10000</v>
      </c>
    </row>
    <row r="55" spans="1:4" ht="48" customHeight="1" x14ac:dyDescent="0.35">
      <c r="A55" s="147" t="s">
        <v>279</v>
      </c>
      <c r="B55" s="148" t="s">
        <v>91</v>
      </c>
      <c r="C55" s="149" t="s">
        <v>280</v>
      </c>
      <c r="D55" s="150">
        <v>5.2</v>
      </c>
    </row>
    <row r="56" spans="1:4" ht="43.5" customHeight="1" x14ac:dyDescent="0.35">
      <c r="A56" s="147" t="s">
        <v>278</v>
      </c>
      <c r="B56" s="148" t="s">
        <v>250</v>
      </c>
      <c r="C56" s="149" t="s">
        <v>281</v>
      </c>
      <c r="D56" s="150">
        <v>5.2</v>
      </c>
    </row>
    <row r="57" spans="1:4" ht="65.25" customHeight="1" x14ac:dyDescent="0.35">
      <c r="A57" s="147" t="s">
        <v>277</v>
      </c>
      <c r="B57" s="148" t="s">
        <v>251</v>
      </c>
      <c r="C57" s="149" t="s">
        <v>282</v>
      </c>
      <c r="D57" s="150">
        <v>4.8</v>
      </c>
    </row>
    <row r="58" spans="1:4" x14ac:dyDescent="0.35">
      <c r="A58" s="147" t="s">
        <v>276</v>
      </c>
      <c r="B58" s="148" t="s">
        <v>93</v>
      </c>
      <c r="C58" s="151" t="s">
        <v>269</v>
      </c>
      <c r="D58" s="150">
        <v>3.5</v>
      </c>
    </row>
    <row r="59" spans="1:4" x14ac:dyDescent="0.35">
      <c r="A59" s="147" t="s">
        <v>275</v>
      </c>
      <c r="B59" s="148" t="s">
        <v>92</v>
      </c>
      <c r="C59" s="151" t="s">
        <v>270</v>
      </c>
      <c r="D59" s="150">
        <v>4</v>
      </c>
    </row>
    <row r="60" spans="1:4" x14ac:dyDescent="0.35">
      <c r="A60" s="147" t="s">
        <v>48</v>
      </c>
      <c r="B60" s="148"/>
      <c r="C60" s="148"/>
      <c r="D60" s="150">
        <v>1.5</v>
      </c>
    </row>
    <row r="61" spans="1:4" ht="29" x14ac:dyDescent="0.35">
      <c r="A61" s="147" t="s">
        <v>49</v>
      </c>
      <c r="B61" s="148" t="s">
        <v>94</v>
      </c>
      <c r="C61" s="149" t="s">
        <v>262</v>
      </c>
      <c r="D61" s="152">
        <v>200</v>
      </c>
    </row>
    <row r="62" spans="1:4" ht="29" x14ac:dyDescent="0.35">
      <c r="A62" s="147" t="s">
        <v>274</v>
      </c>
      <c r="B62" s="148" t="s">
        <v>81</v>
      </c>
      <c r="C62" s="149" t="s">
        <v>271</v>
      </c>
      <c r="D62" s="150">
        <v>15.37</v>
      </c>
    </row>
    <row r="63" spans="1:4" ht="30.75" customHeight="1" thickBot="1" x14ac:dyDescent="0.4">
      <c r="A63" s="153" t="s">
        <v>273</v>
      </c>
      <c r="B63" s="154" t="s">
        <v>82</v>
      </c>
      <c r="C63" s="155" t="s">
        <v>272</v>
      </c>
      <c r="D63" s="156">
        <v>24.78</v>
      </c>
    </row>
    <row r="64" spans="1:4" ht="29" x14ac:dyDescent="0.35">
      <c r="A64" s="147" t="s">
        <v>307</v>
      </c>
      <c r="B64" s="148" t="s">
        <v>308</v>
      </c>
      <c r="C64" s="149" t="s">
        <v>309</v>
      </c>
      <c r="D64" s="150"/>
    </row>
    <row r="65" spans="1:4" ht="29" x14ac:dyDescent="0.35">
      <c r="A65" s="147" t="s">
        <v>163</v>
      </c>
      <c r="B65" s="148" t="s">
        <v>164</v>
      </c>
      <c r="C65" s="149" t="s">
        <v>303</v>
      </c>
      <c r="D65" s="150"/>
    </row>
    <row r="66" spans="1:4" ht="29.5" thickBot="1" x14ac:dyDescent="0.4">
      <c r="A66" s="153" t="s">
        <v>185</v>
      </c>
      <c r="B66" s="154" t="s">
        <v>162</v>
      </c>
      <c r="C66" s="157" t="s">
        <v>304</v>
      </c>
      <c r="D66" s="156"/>
    </row>
  </sheetData>
  <sheetProtection selectLockedCell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8AFFD-4AFC-41F6-A136-AE2E4B6A75BB}">
  <dimension ref="A1:U70"/>
  <sheetViews>
    <sheetView showGridLines="0" showRowColHeaders="0" topLeftCell="F61" zoomScale="70" zoomScaleNormal="70" workbookViewId="0">
      <selection activeCell="K65" activeCellId="5" sqref="I21:I34 K21:N34 I39:I60 K39:N60 I65:I67 K65:N67"/>
    </sheetView>
  </sheetViews>
  <sheetFormatPr baseColWidth="10" defaultColWidth="11.54296875" defaultRowHeight="14.5" x14ac:dyDescent="0.35"/>
  <cols>
    <col min="1" max="1" width="8.08984375" style="1" bestFit="1" customWidth="1"/>
    <col min="2" max="2" width="3" style="1" bestFit="1" customWidth="1"/>
    <col min="3" max="3" width="55.453125" style="1" customWidth="1"/>
    <col min="4" max="4" width="19.54296875" style="1" customWidth="1"/>
    <col min="5" max="5" width="51.453125" style="64" customWidth="1"/>
    <col min="6" max="6" width="13.54296875" style="1" bestFit="1" customWidth="1"/>
    <col min="7" max="7" width="14.90625" style="1" bestFit="1" customWidth="1"/>
    <col min="8" max="9" width="11.54296875" style="1"/>
    <col min="10" max="10" width="6.453125" style="1" customWidth="1"/>
    <col min="11" max="11" width="48.90625" style="1" bestFit="1" customWidth="1"/>
    <col min="12" max="12" width="19.453125" style="1" bestFit="1" customWidth="1"/>
    <col min="13" max="13" width="51.453125" style="64" customWidth="1"/>
    <col min="14" max="14" width="16" style="1" bestFit="1" customWidth="1"/>
    <col min="15" max="15" width="14.453125" style="1" bestFit="1" customWidth="1"/>
    <col min="16" max="16384" width="11.54296875" style="1"/>
  </cols>
  <sheetData>
    <row r="1" spans="1:21" x14ac:dyDescent="0.35">
      <c r="E1" s="1"/>
      <c r="M1" s="1"/>
    </row>
    <row r="2" spans="1:21" x14ac:dyDescent="0.35">
      <c r="E2" s="1"/>
      <c r="M2" s="1"/>
    </row>
    <row r="3" spans="1:21" ht="14.4" customHeight="1" x14ac:dyDescent="0.35">
      <c r="D3" s="201" t="s">
        <v>98</v>
      </c>
      <c r="E3" s="202"/>
      <c r="F3" s="202"/>
      <c r="G3" s="202"/>
      <c r="H3" s="202"/>
      <c r="I3" s="202"/>
      <c r="J3" s="202"/>
      <c r="K3" s="202"/>
      <c r="M3" s="1"/>
      <c r="N3" s="23"/>
    </row>
    <row r="4" spans="1:21" ht="14.4" customHeight="1" x14ac:dyDescent="0.35">
      <c r="D4" s="201"/>
      <c r="E4" s="202"/>
      <c r="F4" s="202"/>
      <c r="G4" s="202"/>
      <c r="H4" s="202"/>
      <c r="I4" s="202"/>
      <c r="J4" s="202"/>
      <c r="K4" s="202"/>
      <c r="M4" s="1"/>
      <c r="N4" s="23"/>
    </row>
    <row r="5" spans="1:21" ht="14.4" customHeight="1" x14ac:dyDescent="0.35">
      <c r="D5" s="201"/>
      <c r="E5" s="202"/>
      <c r="F5" s="202"/>
      <c r="G5" s="202"/>
      <c r="H5" s="202"/>
      <c r="I5" s="202"/>
      <c r="J5" s="202"/>
      <c r="K5" s="202"/>
      <c r="M5" s="1"/>
      <c r="N5" s="23"/>
    </row>
    <row r="6" spans="1:21" ht="14.4" customHeight="1" x14ac:dyDescent="0.35">
      <c r="D6" s="201"/>
      <c r="E6" s="202"/>
      <c r="F6" s="202"/>
      <c r="G6" s="202"/>
      <c r="H6" s="202"/>
      <c r="I6" s="202"/>
      <c r="J6" s="202"/>
      <c r="K6" s="202"/>
      <c r="M6" s="1"/>
      <c r="N6" s="23"/>
    </row>
    <row r="7" spans="1:21" ht="14.4" customHeight="1" x14ac:dyDescent="0.35">
      <c r="E7" s="1"/>
      <c r="M7" s="1"/>
      <c r="N7" s="23"/>
    </row>
    <row r="8" spans="1:21" ht="14.4" customHeight="1" x14ac:dyDescent="0.35">
      <c r="E8" s="1"/>
      <c r="F8" s="23"/>
      <c r="G8" s="23"/>
      <c r="H8" s="23"/>
      <c r="I8" s="23"/>
      <c r="J8" s="23"/>
      <c r="K8" s="23"/>
      <c r="L8" s="23"/>
      <c r="M8" s="23"/>
      <c r="N8" s="23"/>
    </row>
    <row r="9" spans="1:21" ht="17.5" x14ac:dyDescent="0.35">
      <c r="A9" s="203"/>
      <c r="B9" s="203"/>
      <c r="C9" s="203"/>
      <c r="D9" s="203"/>
      <c r="E9" s="203"/>
      <c r="F9" s="203"/>
      <c r="G9" s="203"/>
      <c r="H9" s="203"/>
      <c r="I9" s="203"/>
      <c r="J9" s="203"/>
      <c r="K9" s="203"/>
      <c r="L9" s="203"/>
      <c r="M9" s="203"/>
      <c r="N9" s="203"/>
      <c r="O9" s="203"/>
    </row>
    <row r="10" spans="1:21" ht="15" thickBot="1" x14ac:dyDescent="0.4"/>
    <row r="11" spans="1:21" customFormat="1" ht="21.5" thickBot="1" x14ac:dyDescent="0.4">
      <c r="C11" s="204" t="s">
        <v>16</v>
      </c>
      <c r="D11" s="205"/>
      <c r="E11" s="74"/>
      <c r="H11" s="45" t="s">
        <v>154</v>
      </c>
      <c r="I11" s="1"/>
      <c r="J11" s="1"/>
      <c r="K11" s="204" t="s">
        <v>15</v>
      </c>
      <c r="L11" s="205"/>
      <c r="M11" s="74"/>
      <c r="N11" s="1"/>
      <c r="O11" s="1"/>
      <c r="Q11" s="1"/>
      <c r="R11" s="1"/>
      <c r="S11" s="1"/>
      <c r="T11" s="1"/>
      <c r="U11" s="1"/>
    </row>
    <row r="12" spans="1:21" customFormat="1" x14ac:dyDescent="0.35">
      <c r="C12" s="1"/>
      <c r="D12" s="1"/>
      <c r="E12" s="75"/>
      <c r="F12" s="1"/>
      <c r="G12" s="1"/>
      <c r="I12" s="1"/>
      <c r="J12" s="1"/>
      <c r="K12" s="1"/>
      <c r="L12" s="1"/>
      <c r="M12" s="75"/>
      <c r="N12" s="1"/>
      <c r="O12" s="1"/>
      <c r="Q12" s="1"/>
      <c r="R12" s="1"/>
      <c r="S12" s="1"/>
      <c r="T12" s="1"/>
      <c r="U12" s="1"/>
    </row>
    <row r="13" spans="1:21" customFormat="1" ht="26" x14ac:dyDescent="0.35">
      <c r="C13" s="14" t="s">
        <v>97</v>
      </c>
      <c r="D13" s="14" t="s">
        <v>7</v>
      </c>
      <c r="E13" s="76"/>
      <c r="F13" s="1"/>
      <c r="G13" s="1"/>
      <c r="I13" s="1"/>
      <c r="J13" s="1"/>
      <c r="K13" s="14" t="s">
        <v>97</v>
      </c>
      <c r="L13" s="14" t="s">
        <v>17</v>
      </c>
      <c r="M13" s="76"/>
      <c r="N13" s="1"/>
      <c r="O13" s="1"/>
      <c r="Q13" s="1"/>
      <c r="R13" s="1"/>
      <c r="S13" s="1"/>
      <c r="T13" s="1"/>
      <c r="U13" s="1"/>
    </row>
    <row r="14" spans="1:21" customFormat="1" x14ac:dyDescent="0.35">
      <c r="C14" s="17" t="str">
        <f>A19</f>
        <v>1.- ATR</v>
      </c>
      <c r="D14" s="2">
        <f>G35</f>
        <v>9867.3804722222285</v>
      </c>
      <c r="E14" s="65"/>
      <c r="F14" s="1"/>
      <c r="G14" s="1"/>
      <c r="I14" s="1"/>
      <c r="J14" s="1"/>
      <c r="K14" s="17" t="str">
        <f>I19</f>
        <v>1.- ATR</v>
      </c>
      <c r="L14" s="2">
        <f>O35</f>
        <v>0</v>
      </c>
      <c r="M14" s="65"/>
      <c r="N14" s="1"/>
      <c r="O14" s="1"/>
      <c r="Q14" s="1"/>
      <c r="R14" s="1"/>
      <c r="S14" s="1"/>
      <c r="T14" s="1"/>
      <c r="U14" s="1"/>
    </row>
    <row r="15" spans="1:21" customFormat="1" x14ac:dyDescent="0.35">
      <c r="C15" s="17" t="str">
        <f>A37</f>
        <v>2.- PERÍMETRO</v>
      </c>
      <c r="D15" s="3">
        <f>G61</f>
        <v>44769.735472222237</v>
      </c>
      <c r="E15" s="65"/>
      <c r="F15" s="1"/>
      <c r="G15" s="1"/>
      <c r="I15" s="1"/>
      <c r="J15" s="1"/>
      <c r="K15" s="17" t="str">
        <f>I37</f>
        <v>2.- PERÍMETRO</v>
      </c>
      <c r="L15" s="3">
        <f>O61</f>
        <v>0</v>
      </c>
      <c r="M15" s="65"/>
      <c r="N15" s="1"/>
      <c r="O15" s="1"/>
      <c r="Q15" s="1"/>
      <c r="R15" s="1"/>
      <c r="S15" s="1"/>
      <c r="T15" s="1"/>
      <c r="U15" s="1"/>
    </row>
    <row r="16" spans="1:21" customFormat="1" x14ac:dyDescent="0.35">
      <c r="C16" s="17" t="str">
        <f>A63</f>
        <v>3.- ACTUALIZACIÓN 8 GRABADORES</v>
      </c>
      <c r="D16" s="3">
        <f>G68</f>
        <v>5513</v>
      </c>
      <c r="E16" s="65"/>
      <c r="F16" s="1"/>
      <c r="G16" s="1"/>
      <c r="I16" s="1"/>
      <c r="J16" s="1"/>
      <c r="K16" s="17" t="str">
        <f>I63</f>
        <v>3.- ACTUALIZACIÓN GRABADORES</v>
      </c>
      <c r="L16" s="3">
        <f>O68</f>
        <v>0</v>
      </c>
      <c r="M16" s="65"/>
      <c r="N16" s="1"/>
      <c r="O16" s="1"/>
      <c r="Q16" s="1"/>
      <c r="R16" s="1"/>
      <c r="S16" s="1"/>
      <c r="T16" s="1"/>
      <c r="U16" s="1"/>
    </row>
    <row r="17" spans="1:21" customFormat="1" ht="15.5" x14ac:dyDescent="0.35">
      <c r="C17" s="18" t="s">
        <v>8</v>
      </c>
      <c r="D17" s="21">
        <f>+SUM(D14:D16)</f>
        <v>60150.115944444464</v>
      </c>
      <c r="E17" s="66"/>
      <c r="F17" s="1"/>
      <c r="G17" s="1"/>
      <c r="I17" s="1"/>
      <c r="J17" s="1"/>
      <c r="K17" s="18" t="s">
        <v>8</v>
      </c>
      <c r="L17" s="21">
        <f>+SUM(L14:L16)</f>
        <v>0</v>
      </c>
      <c r="M17" s="66"/>
      <c r="N17" s="1"/>
      <c r="O17" s="1"/>
      <c r="Q17" s="1"/>
      <c r="R17" s="1"/>
      <c r="S17" s="1"/>
      <c r="T17" s="1"/>
      <c r="U17" s="1"/>
    </row>
    <row r="18" spans="1:21" x14ac:dyDescent="0.35">
      <c r="A18" s="10"/>
      <c r="B18" s="10"/>
      <c r="C18" s="11"/>
      <c r="D18" s="11"/>
      <c r="E18" s="67"/>
      <c r="F18" s="11"/>
      <c r="G18" s="11"/>
      <c r="M18" s="67"/>
    </row>
    <row r="19" spans="1:21" x14ac:dyDescent="0.35">
      <c r="A19" s="198" t="s">
        <v>69</v>
      </c>
      <c r="B19" s="199"/>
      <c r="C19" s="200"/>
      <c r="D19" s="4"/>
      <c r="E19" s="68"/>
      <c r="F19" s="4"/>
      <c r="G19" s="5"/>
      <c r="I19" s="85" t="s">
        <v>69</v>
      </c>
      <c r="J19" s="86"/>
      <c r="K19" s="86"/>
      <c r="L19" s="88"/>
      <c r="M19" s="68"/>
      <c r="N19" s="4"/>
      <c r="O19" s="4"/>
    </row>
    <row r="20" spans="1:21" x14ac:dyDescent="0.35">
      <c r="A20" s="197" t="s">
        <v>0</v>
      </c>
      <c r="B20" s="197"/>
      <c r="C20" s="12" t="s">
        <v>13</v>
      </c>
      <c r="D20" s="12" t="s">
        <v>14</v>
      </c>
      <c r="E20" s="12" t="s">
        <v>256</v>
      </c>
      <c r="F20" s="12" t="s">
        <v>2</v>
      </c>
      <c r="G20" s="13" t="s">
        <v>7</v>
      </c>
      <c r="I20" s="197" t="s">
        <v>0</v>
      </c>
      <c r="J20" s="197"/>
      <c r="K20" s="12" t="s">
        <v>13</v>
      </c>
      <c r="L20" s="12" t="s">
        <v>14</v>
      </c>
      <c r="M20" s="70" t="s">
        <v>256</v>
      </c>
      <c r="N20" s="12" t="s">
        <v>2</v>
      </c>
      <c r="O20" s="13" t="s">
        <v>7</v>
      </c>
    </row>
    <row r="21" spans="1:21" ht="132.75" customHeight="1" x14ac:dyDescent="0.35">
      <c r="A21" s="71">
        <v>2</v>
      </c>
      <c r="B21" s="72" t="s">
        <v>3</v>
      </c>
      <c r="C21" s="73" t="s">
        <v>72</v>
      </c>
      <c r="D21" s="72" t="str">
        <f>IF(C21&lt;&gt;"",VLOOKUP(C21,Preciario!$A$2:$D$66,2,FALSE),"")</f>
        <v>P3265LVE</v>
      </c>
      <c r="E21" s="73" t="str">
        <f>IF(C21&lt;&gt;"",VLOOKUP(C21,Preciario!$A$2:$D$66,3,FALSE),"")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21" s="24">
        <f>IF(C21&lt;&gt;"",VLOOKUP(C21,Preciario!$A$2:$D$66,4,FALSE),"")</f>
        <v>749</v>
      </c>
      <c r="G21" s="24">
        <f t="shared" ref="G21:G34" si="0">A21*F21</f>
        <v>1498</v>
      </c>
      <c r="I21" s="16"/>
      <c r="J21" s="6" t="s">
        <v>3</v>
      </c>
      <c r="K21" s="15"/>
      <c r="L21" s="15"/>
      <c r="M21" s="15"/>
      <c r="N21" s="15"/>
      <c r="O21" s="7">
        <f t="shared" ref="O21:O34" si="1">+N21*I21</f>
        <v>0</v>
      </c>
    </row>
    <row r="22" spans="1:21" ht="62.5" x14ac:dyDescent="0.35">
      <c r="A22" s="71">
        <v>2</v>
      </c>
      <c r="B22" s="72" t="s">
        <v>3</v>
      </c>
      <c r="C22" s="73" t="s">
        <v>266</v>
      </c>
      <c r="D22" s="72" t="str">
        <f>IF(C22&lt;&gt;"",VLOOKUP(C22,Preciario!$A$2:$D$66,2,FALSE),"")</f>
        <v>T91B47</v>
      </c>
      <c r="E22" s="73" t="str">
        <f>IF(C22&lt;&gt;"",VLOOKUP(C22,Preciario!$A$2:$D$66,3,FALSE),"")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22" s="24">
        <f>IF(C22&lt;&gt;"",VLOOKUP(C22,Preciario!$A$2:$D$66,4,FALSE),"")</f>
        <v>89</v>
      </c>
      <c r="G22" s="24">
        <f t="shared" si="0"/>
        <v>178</v>
      </c>
      <c r="I22" s="16"/>
      <c r="J22" s="6" t="s">
        <v>3</v>
      </c>
      <c r="K22" s="15"/>
      <c r="L22" s="15"/>
      <c r="M22" s="15"/>
      <c r="N22" s="15"/>
      <c r="O22" s="7">
        <f t="shared" si="1"/>
        <v>0</v>
      </c>
    </row>
    <row r="23" spans="1:21" x14ac:dyDescent="0.35">
      <c r="A23" s="71">
        <v>2</v>
      </c>
      <c r="B23" s="72" t="s">
        <v>3</v>
      </c>
      <c r="C23" s="73" t="s">
        <v>31</v>
      </c>
      <c r="D23" s="72" t="str">
        <f>IF(C23&lt;&gt;"",VLOOKUP(C23,Preciario!$A$2:$D$66,2,FALSE),"")</f>
        <v>LIC_CAM</v>
      </c>
      <c r="E23" s="73" t="str">
        <f>IF(C23&lt;&gt;"",VLOOKUP(C23,Preciario!$A$2:$D$66,3,FALSE),"")</f>
        <v xml:space="preserve">Licenciamiento de cámara en servidor </v>
      </c>
      <c r="F23" s="24">
        <f>IF(C23&lt;&gt;"",VLOOKUP(C23,Preciario!$A$2:$D$66,4,FALSE),"")</f>
        <v>159.05000000000001</v>
      </c>
      <c r="G23" s="24">
        <f t="shared" si="0"/>
        <v>318.10000000000002</v>
      </c>
      <c r="I23" s="16"/>
      <c r="J23" s="6" t="s">
        <v>3</v>
      </c>
      <c r="K23" s="15"/>
      <c r="L23" s="15"/>
      <c r="M23" s="15"/>
      <c r="N23" s="15"/>
      <c r="O23" s="7">
        <f t="shared" si="1"/>
        <v>0</v>
      </c>
    </row>
    <row r="24" spans="1:21" ht="112.5" x14ac:dyDescent="0.35">
      <c r="A24" s="71">
        <v>1</v>
      </c>
      <c r="B24" s="72" t="s">
        <v>3</v>
      </c>
      <c r="C24" s="73" t="s">
        <v>236</v>
      </c>
      <c r="D24" s="72" t="str">
        <f>IF(C24&lt;&gt;"",VLOOKUP(C24,Preciario!$A$2:$D$66,2,FALSE),"")</f>
        <v>IGS-5225-8P2S2X</v>
      </c>
      <c r="E24" s="73" t="str">
        <f>IF(C24&lt;&gt;"",VLOOKUP(C24,Preciario!$A$2:$D$66,3,FALSE),"")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24" s="24">
        <f>IF(C24&lt;&gt;"",VLOOKUP(C24,Preciario!$A$2:$D$66,4,FALSE),"")</f>
        <v>957.6</v>
      </c>
      <c r="G24" s="24">
        <f t="shared" si="0"/>
        <v>957.6</v>
      </c>
      <c r="I24" s="16"/>
      <c r="J24" s="6" t="s">
        <v>3</v>
      </c>
      <c r="K24" s="15"/>
      <c r="L24" s="15"/>
      <c r="M24" s="15"/>
      <c r="N24" s="15"/>
      <c r="O24" s="7">
        <f t="shared" si="1"/>
        <v>0</v>
      </c>
    </row>
    <row r="25" spans="1:21" ht="25" x14ac:dyDescent="0.35">
      <c r="A25" s="71">
        <v>1</v>
      </c>
      <c r="B25" s="72" t="s">
        <v>3</v>
      </c>
      <c r="C25" s="73" t="s">
        <v>238</v>
      </c>
      <c r="D25" s="72" t="str">
        <f>IF(C25&lt;&gt;"",VLOOKUP(C25,Preciario!$A$2:$D$66,2,FALSE),"")</f>
        <v>NDR 480-48</v>
      </c>
      <c r="E25" s="73" t="str">
        <f>IF(C25&lt;&gt;"",VLOOKUP(C25,Preciario!$A$2:$D$66,3,FALSE),"")</f>
        <v>Fuente de alimentación de carril DIN de 48 V, 480 W salida de CC ajustable de 48-56 V (-20 ~ 70 grados C)</v>
      </c>
      <c r="F25" s="24">
        <f>IF(C25&lt;&gt;"",VLOOKUP(C25,Preciario!$A$2:$D$66,4,FALSE),"")</f>
        <v>270</v>
      </c>
      <c r="G25" s="24">
        <f t="shared" si="0"/>
        <v>270</v>
      </c>
      <c r="I25" s="16"/>
      <c r="J25" s="6" t="s">
        <v>3</v>
      </c>
      <c r="K25" s="15"/>
      <c r="L25" s="15"/>
      <c r="M25" s="15"/>
      <c r="N25" s="15"/>
      <c r="O25" s="7">
        <f t="shared" ref="O25" si="2">+N25*I25</f>
        <v>0</v>
      </c>
    </row>
    <row r="26" spans="1:21" ht="25" x14ac:dyDescent="0.35">
      <c r="A26" s="71">
        <v>2</v>
      </c>
      <c r="B26" s="72" t="s">
        <v>3</v>
      </c>
      <c r="C26" s="73" t="s">
        <v>243</v>
      </c>
      <c r="D26" s="72" t="str">
        <f>IF(C26&lt;&gt;"",VLOOKUP(C26,Preciario!$A$2:$D$66,2,FALSE),"")</f>
        <v>MTB-TSR2</v>
      </c>
      <c r="E26" s="73" t="str">
        <f>IF(C26&lt;&gt;"",VLOOKUP(C26,Preciario!$A$2:$D$66,3,FALSE),"")</f>
        <v>Módulo de fibra óptica 10GBASE-LR SFP+ de 1 puerto: 2 km (-40~75 grados C)</v>
      </c>
      <c r="F26" s="24">
        <f>IF(C26&lt;&gt;"",VLOOKUP(C26,Preciario!$A$2:$D$66,4,FALSE),"")</f>
        <v>104</v>
      </c>
      <c r="G26" s="24">
        <f t="shared" si="0"/>
        <v>208</v>
      </c>
      <c r="I26" s="16"/>
      <c r="J26" s="6" t="s">
        <v>3</v>
      </c>
      <c r="K26" s="15"/>
      <c r="L26" s="15"/>
      <c r="M26" s="15"/>
      <c r="N26" s="15"/>
      <c r="O26" s="7">
        <f t="shared" si="1"/>
        <v>0</v>
      </c>
    </row>
    <row r="27" spans="1:21" ht="157.5" customHeight="1" x14ac:dyDescent="0.35">
      <c r="A27" s="71">
        <v>2</v>
      </c>
      <c r="B27" s="72" t="s">
        <v>3</v>
      </c>
      <c r="C27" s="73" t="s">
        <v>42</v>
      </c>
      <c r="D27" s="72" t="str">
        <f>IF(C27&lt;&gt;"",VLOOKUP(C27,Preciario!$A$2:$D$66,2,FALSE),"")</f>
        <v>AM60x40</v>
      </c>
      <c r="E27" s="73" t="str">
        <f>IF(C27&lt;&gt;"",VLOOKUP(C27,Preciario!$A$2:$D$66,3,FALSE),"")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27" s="24">
        <f>IF(C27&lt;&gt;"",VLOOKUP(C27,Preciario!$A$2:$D$66,4,FALSE),"")</f>
        <v>862.465236111114</v>
      </c>
      <c r="G27" s="24">
        <f t="shared" si="0"/>
        <v>1724.930472222228</v>
      </c>
      <c r="I27" s="16"/>
      <c r="J27" s="6" t="s">
        <v>3</v>
      </c>
      <c r="K27" s="15"/>
      <c r="L27" s="15"/>
      <c r="M27" s="15"/>
      <c r="N27" s="15"/>
      <c r="O27" s="7">
        <f t="shared" si="1"/>
        <v>0</v>
      </c>
    </row>
    <row r="28" spans="1:21" ht="37.5" x14ac:dyDescent="0.35">
      <c r="A28" s="71">
        <v>1</v>
      </c>
      <c r="B28" s="72" t="s">
        <v>3</v>
      </c>
      <c r="C28" s="73" t="s">
        <v>247</v>
      </c>
      <c r="D28" s="72" t="str">
        <f>IF(C28&lt;&gt;"",VLOOKUP(C28,Preciario!$A$2:$D$66,2,FALSE),"")</f>
        <v>Caja FO IP67</v>
      </c>
      <c r="E28" s="73" t="str">
        <f>IF(C28&lt;&gt;"",VLOOKUP(C28,Preciario!$A$2:$D$66,3,FALSE),"")</f>
        <v>Caja de distribución de fibra óptica caja de distribución de 1 a 16 puertos, capacidad para 24 empalmes en bandejas, impermeable, para exteriores, IP67</v>
      </c>
      <c r="F28" s="24">
        <f>IF(C28&lt;&gt;"",VLOOKUP(C28,Preciario!$A$2:$D$66,4,FALSE),"")</f>
        <v>52</v>
      </c>
      <c r="G28" s="24">
        <f t="shared" si="0"/>
        <v>52</v>
      </c>
      <c r="I28" s="16"/>
      <c r="J28" s="6" t="s">
        <v>3</v>
      </c>
      <c r="K28" s="15"/>
      <c r="L28" s="15"/>
      <c r="M28" s="15"/>
      <c r="N28" s="15"/>
      <c r="O28" s="7">
        <f t="shared" si="1"/>
        <v>0</v>
      </c>
    </row>
    <row r="29" spans="1:21" ht="25" x14ac:dyDescent="0.35">
      <c r="A29" s="71">
        <v>10</v>
      </c>
      <c r="B29" s="72" t="s">
        <v>10</v>
      </c>
      <c r="C29" s="73" t="s">
        <v>273</v>
      </c>
      <c r="D29" s="72" t="str">
        <f>IF(C29&lt;&gt;"",VLOOKUP(C29,Preciario!$A$2:$D$66,2,FALSE),"")</f>
        <v>TUBAC32</v>
      </c>
      <c r="E29" s="73" t="str">
        <f>IF(C29&lt;&gt;"",VLOOKUP(C29,Preciario!$A$2:$D$66,3,FALSE),"")</f>
        <v>Suministro e instalación de tubo acero M32, p.p mano de obra y accesorios</v>
      </c>
      <c r="F29" s="24">
        <f>IF(C29&lt;&gt;"",VLOOKUP(C29,Preciario!$A$2:$D$66,4,FALSE),"")</f>
        <v>24.78</v>
      </c>
      <c r="G29" s="24">
        <f t="shared" si="0"/>
        <v>247.8</v>
      </c>
      <c r="I29" s="16"/>
      <c r="J29" s="6" t="s">
        <v>10</v>
      </c>
      <c r="K29" s="15"/>
      <c r="L29" s="15"/>
      <c r="M29" s="15"/>
      <c r="N29" s="15"/>
      <c r="O29" s="7">
        <f t="shared" si="1"/>
        <v>0</v>
      </c>
    </row>
    <row r="30" spans="1:21" x14ac:dyDescent="0.35">
      <c r="A30" s="71">
        <v>320</v>
      </c>
      <c r="B30" s="72" t="s">
        <v>10</v>
      </c>
      <c r="C30" s="73" t="s">
        <v>275</v>
      </c>
      <c r="D30" s="72" t="str">
        <f>IF(C30&lt;&gt;"",VLOOKUP(C30,Preciario!$A$2:$D$66,2,FALSE),"")</f>
        <v>C_ELE_3X2,5</v>
      </c>
      <c r="E30" s="73" t="str">
        <f>IF(C30&lt;&gt;"",VLOOKUP(C30,Preciario!$A$2:$D$66,3,FALSE),"")</f>
        <v>Suministro e instalación de manguera exterior RZ1-K 3x2,5mm</v>
      </c>
      <c r="F30" s="24">
        <f>IF(C30&lt;&gt;"",VLOOKUP(C30,Preciario!$A$2:$D$66,4,FALSE),"")</f>
        <v>4</v>
      </c>
      <c r="G30" s="24">
        <f t="shared" si="0"/>
        <v>1280</v>
      </c>
      <c r="I30" s="16"/>
      <c r="J30" s="6" t="s">
        <v>10</v>
      </c>
      <c r="K30" s="15"/>
      <c r="L30" s="15"/>
      <c r="M30" s="15"/>
      <c r="N30" s="15"/>
      <c r="O30" s="7">
        <f t="shared" si="1"/>
        <v>0</v>
      </c>
    </row>
    <row r="31" spans="1:21" ht="62.5" x14ac:dyDescent="0.35">
      <c r="A31" s="71">
        <v>120</v>
      </c>
      <c r="B31" s="72" t="s">
        <v>10</v>
      </c>
      <c r="C31" s="73" t="s">
        <v>277</v>
      </c>
      <c r="D31" s="72" t="str">
        <f>IF(C31&lt;&gt;"",VLOOKUP(C31,Preciario!$A$2:$D$66,2,FALSE),"")</f>
        <v>FTP_CAT6A/CAT7</v>
      </c>
      <c r="E31" s="73" t="str">
        <f>IF(C31&lt;&gt;"",VLOOKUP(C31,Preciario!$A$2:$D$66,3,FALSE),"")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31" s="24">
        <f>IF(C31&lt;&gt;"",VLOOKUP(C31,Preciario!$A$2:$D$66,4,FALSE),"")</f>
        <v>4.8</v>
      </c>
      <c r="G31" s="24">
        <f t="shared" si="0"/>
        <v>576</v>
      </c>
      <c r="I31" s="16"/>
      <c r="J31" s="6" t="s">
        <v>10</v>
      </c>
      <c r="K31" s="15"/>
      <c r="L31" s="15"/>
      <c r="M31" s="15"/>
      <c r="N31" s="15"/>
      <c r="O31" s="7">
        <f t="shared" si="1"/>
        <v>0</v>
      </c>
    </row>
    <row r="32" spans="1:21" ht="50" x14ac:dyDescent="0.35">
      <c r="A32" s="71">
        <v>320</v>
      </c>
      <c r="B32" s="72" t="s">
        <v>10</v>
      </c>
      <c r="C32" s="73" t="s">
        <v>278</v>
      </c>
      <c r="D32" s="72" t="str">
        <f>IF(C32&lt;&gt;"",VLOOKUP(C32,Preciario!$A$2:$D$66,2,FALSE),"")</f>
        <v>FO_OS2</v>
      </c>
      <c r="E32" s="73" t="str">
        <f>IF(C32&lt;&gt;"",VLOOKUP(C32,Preciario!$A$2:$D$66,3,FALSE),"")</f>
        <v xml:space="preserve">Suministro e instalación de manguera de fibra óptica de exterior con cubierta de PE protección UV, malla-chapa antiroedor, CPR, 12 FO SM, de tipo OS2 pp. Conexionado fusiones y certificación </v>
      </c>
      <c r="F32" s="24">
        <f>IF(C32&lt;&gt;"",VLOOKUP(C32,Preciario!$A$2:$D$66,4,FALSE),"")</f>
        <v>5.2</v>
      </c>
      <c r="G32" s="24">
        <f t="shared" si="0"/>
        <v>1664</v>
      </c>
      <c r="I32" s="16"/>
      <c r="J32" s="6" t="s">
        <v>10</v>
      </c>
      <c r="K32" s="15"/>
      <c r="L32" s="15"/>
      <c r="M32" s="15"/>
      <c r="N32" s="15"/>
      <c r="O32" s="7">
        <f t="shared" si="1"/>
        <v>0</v>
      </c>
    </row>
    <row r="33" spans="1:15" ht="25" x14ac:dyDescent="0.35">
      <c r="A33" s="71">
        <f>'Presupuesto Total'!D32</f>
        <v>1</v>
      </c>
      <c r="B33" s="72" t="s">
        <v>11</v>
      </c>
      <c r="C33" s="73" t="s">
        <v>163</v>
      </c>
      <c r="D33" s="72" t="s">
        <v>164</v>
      </c>
      <c r="E33" s="73" t="str">
        <f>IF(C33&lt;&gt;"",VLOOKUP($C$33,Preciario!$A$2:$D$66,3,FALSE),"")</f>
        <v>Partida ayudas auxiliares en equipamiento y mano de obra en sistemas de energía</v>
      </c>
      <c r="F33" s="24">
        <v>446.47500000000002</v>
      </c>
      <c r="G33" s="24">
        <f t="shared" si="0"/>
        <v>446.47500000000002</v>
      </c>
      <c r="I33" s="16"/>
      <c r="J33" s="6" t="s">
        <v>11</v>
      </c>
      <c r="K33" s="15"/>
      <c r="L33" s="15"/>
      <c r="M33" s="15"/>
      <c r="N33" s="15"/>
      <c r="O33" s="7">
        <f t="shared" ref="O33" si="3">+N33*I33</f>
        <v>0</v>
      </c>
    </row>
    <row r="34" spans="1:15" ht="25" x14ac:dyDescent="0.35">
      <c r="A34" s="71">
        <f>'Presupuesto Total'!D33</f>
        <v>1</v>
      </c>
      <c r="B34" s="72" t="s">
        <v>11</v>
      </c>
      <c r="C34" s="73" t="s">
        <v>185</v>
      </c>
      <c r="D34" s="158" t="s">
        <v>162</v>
      </c>
      <c r="E34" s="73" t="str">
        <f>IF(C34&lt;&gt;"",VLOOKUP(C34,Preciario!$A$2:$D$66,3,FALSE),"")</f>
        <v>Partida ayudas auxiliares en equipamiento y mano de obra en albañilería</v>
      </c>
      <c r="F34" s="24">
        <v>446.47500000000002</v>
      </c>
      <c r="G34" s="24">
        <f t="shared" si="0"/>
        <v>446.47500000000002</v>
      </c>
      <c r="I34" s="16"/>
      <c r="J34" s="6" t="s">
        <v>11</v>
      </c>
      <c r="K34" s="15"/>
      <c r="L34" s="15"/>
      <c r="M34" s="101"/>
      <c r="N34" s="15"/>
      <c r="O34" s="7">
        <f t="shared" si="1"/>
        <v>0</v>
      </c>
    </row>
    <row r="35" spans="1:15" x14ac:dyDescent="0.35">
      <c r="A35" s="8"/>
      <c r="B35" s="8"/>
      <c r="C35" s="9"/>
      <c r="D35" s="9"/>
      <c r="E35" s="69"/>
      <c r="F35" s="77" t="s">
        <v>4</v>
      </c>
      <c r="G35" s="78">
        <f>SUM(G21:G34)</f>
        <v>9867.3804722222285</v>
      </c>
      <c r="I35" s="8"/>
      <c r="J35" s="8"/>
      <c r="K35" s="9"/>
      <c r="L35" s="9"/>
      <c r="M35" s="11"/>
      <c r="N35" s="19" t="s">
        <v>4</v>
      </c>
      <c r="O35" s="20">
        <f>SUM(O21:O34)</f>
        <v>0</v>
      </c>
    </row>
    <row r="36" spans="1:15" x14ac:dyDescent="0.35">
      <c r="A36" s="10"/>
      <c r="B36" s="10"/>
      <c r="C36" s="11"/>
      <c r="D36" s="11"/>
      <c r="E36" s="67"/>
      <c r="F36" s="11"/>
      <c r="G36" s="11"/>
      <c r="I36" s="10"/>
      <c r="J36" s="10"/>
      <c r="K36" s="11"/>
      <c r="L36" s="11"/>
      <c r="M36" s="11"/>
      <c r="N36" s="11"/>
      <c r="O36" s="11"/>
    </row>
    <row r="37" spans="1:15" x14ac:dyDescent="0.35">
      <c r="A37" s="198" t="s">
        <v>70</v>
      </c>
      <c r="B37" s="199"/>
      <c r="C37" s="200"/>
      <c r="D37" s="4"/>
      <c r="E37" s="68"/>
      <c r="F37" s="4"/>
      <c r="G37" s="5"/>
      <c r="I37" s="198" t="s">
        <v>70</v>
      </c>
      <c r="J37" s="199"/>
      <c r="K37" s="200"/>
      <c r="L37" s="87"/>
      <c r="M37" s="11"/>
      <c r="N37" s="4"/>
      <c r="O37" s="4"/>
    </row>
    <row r="38" spans="1:15" x14ac:dyDescent="0.35">
      <c r="A38" s="197" t="s">
        <v>0</v>
      </c>
      <c r="B38" s="197"/>
      <c r="C38" s="12" t="s">
        <v>13</v>
      </c>
      <c r="D38" s="12" t="s">
        <v>14</v>
      </c>
      <c r="E38" s="12" t="s">
        <v>256</v>
      </c>
      <c r="F38" s="12" t="s">
        <v>2</v>
      </c>
      <c r="G38" s="13" t="s">
        <v>7</v>
      </c>
      <c r="I38" s="197" t="s">
        <v>0</v>
      </c>
      <c r="J38" s="197"/>
      <c r="K38" s="12" t="s">
        <v>13</v>
      </c>
      <c r="L38" s="12" t="s">
        <v>14</v>
      </c>
      <c r="M38" s="12" t="s">
        <v>256</v>
      </c>
      <c r="N38" s="12" t="s">
        <v>2</v>
      </c>
      <c r="O38" s="13" t="s">
        <v>7</v>
      </c>
    </row>
    <row r="39" spans="1:15" ht="25" x14ac:dyDescent="0.35">
      <c r="A39" s="71">
        <v>6</v>
      </c>
      <c r="B39" s="72" t="s">
        <v>3</v>
      </c>
      <c r="C39" s="73" t="s">
        <v>29</v>
      </c>
      <c r="D39" s="72" t="str">
        <f>IF(C39&lt;&gt;"",VLOOKUP(C39,Preciario!$A$2:$D$66,2,FALSE),"")</f>
        <v>BACULO</v>
      </c>
      <c r="E39" s="73" t="str">
        <f>IF(C39&lt;&gt;"",VLOOKUP(C39,Preciario!$A$2:$D$66,3,FALSE),"")</f>
        <v xml:space="preserve">Báculo de 4 metros de altura para la colocación de una cámara de videovigilancia. Incluye el soporte de suelo. </v>
      </c>
      <c r="F39" s="24">
        <f>IF(C39&lt;&gt;"",VLOOKUP(C39,Preciario!$A$2:$D$66,4,FALSE),"")</f>
        <v>330</v>
      </c>
      <c r="G39" s="24">
        <f t="shared" ref="G39:G60" si="4">A39*F39</f>
        <v>1980</v>
      </c>
      <c r="I39" s="16"/>
      <c r="J39" s="6" t="s">
        <v>3</v>
      </c>
      <c r="K39" s="15"/>
      <c r="L39" s="15"/>
      <c r="M39" s="15"/>
      <c r="N39" s="15"/>
      <c r="O39" s="7">
        <f t="shared" ref="O39" si="5">+N39*I39</f>
        <v>0</v>
      </c>
    </row>
    <row r="40" spans="1:15" ht="125" x14ac:dyDescent="0.35">
      <c r="A40" s="71">
        <v>3</v>
      </c>
      <c r="B40" s="72" t="s">
        <v>3</v>
      </c>
      <c r="C40" s="73" t="s">
        <v>72</v>
      </c>
      <c r="D40" s="72" t="str">
        <f>IF(C40&lt;&gt;"",VLOOKUP(C40,Preciario!$A$2:$D$66,2,FALSE),"")</f>
        <v>P3265LVE</v>
      </c>
      <c r="E40" s="73" t="str">
        <f>IF(C40&lt;&gt;"",VLOOKUP(C40,Preciario!$A$2:$D$66,3,FALSE),"")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40" s="24">
        <f>IF(C40&lt;&gt;"",VLOOKUP(C40,Preciario!$A$2:$D$66,4,FALSE),"")</f>
        <v>749</v>
      </c>
      <c r="G40" s="24">
        <f t="shared" si="4"/>
        <v>2247</v>
      </c>
      <c r="I40" s="16"/>
      <c r="J40" s="6" t="s">
        <v>3</v>
      </c>
      <c r="K40" s="15"/>
      <c r="L40" s="15"/>
      <c r="M40" s="15"/>
      <c r="N40" s="15"/>
      <c r="O40" s="7">
        <f t="shared" ref="O40:O53" si="6">+N40*I40</f>
        <v>0</v>
      </c>
    </row>
    <row r="41" spans="1:15" ht="50" x14ac:dyDescent="0.35">
      <c r="A41" s="71">
        <v>4</v>
      </c>
      <c r="B41" s="72" t="s">
        <v>3</v>
      </c>
      <c r="C41" s="73" t="s">
        <v>73</v>
      </c>
      <c r="D41" s="72" t="str">
        <f>IF(C41&lt;&gt;"",VLOOKUP(C41,Preciario!$A$2:$D$66,2,FALSE),"")</f>
        <v>Q1951-E</v>
      </c>
      <c r="E41" s="73" t="str">
        <f>IF(C41&lt;&gt;"",VLOOKUP(C41,Preciario!$A$2:$D$66,3,FALSE),"")</f>
        <v>Suministro y montaje de cámara IP térmica de alta sensibilidad para uso exterior con sensor de 384x288, la imagen puede ampliarse hasta 768x576, soporte y adaptador para montaje en báculo.</v>
      </c>
      <c r="F41" s="24">
        <f>IF(C41&lt;&gt;"",VLOOKUP(C41,Preciario!$A$2:$D$66,4,FALSE),"")</f>
        <v>2999</v>
      </c>
      <c r="G41" s="24">
        <f t="shared" si="4"/>
        <v>11996</v>
      </c>
      <c r="I41" s="16"/>
      <c r="J41" s="6" t="s">
        <v>3</v>
      </c>
      <c r="K41" s="15"/>
      <c r="L41" s="15"/>
      <c r="M41" s="15"/>
      <c r="N41" s="15"/>
      <c r="O41" s="7">
        <f t="shared" si="6"/>
        <v>0</v>
      </c>
    </row>
    <row r="42" spans="1:15" ht="62.5" x14ac:dyDescent="0.35">
      <c r="A42" s="71">
        <v>7</v>
      </c>
      <c r="B42" s="72" t="s">
        <v>3</v>
      </c>
      <c r="C42" s="73" t="s">
        <v>266</v>
      </c>
      <c r="D42" s="72" t="str">
        <f>IF(C42&lt;&gt;"",VLOOKUP(C42,Preciario!$A$2:$D$66,2,FALSE),"")</f>
        <v>T91B47</v>
      </c>
      <c r="E42" s="73" t="str">
        <f>IF(C42&lt;&gt;"",VLOOKUP(C42,Preciario!$A$2:$D$66,3,FALSE),"")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42" s="24">
        <f>IF(C42&lt;&gt;"",VLOOKUP(C42,Preciario!$A$2:$D$66,4,FALSE),"")</f>
        <v>89</v>
      </c>
      <c r="G42" s="24">
        <f t="shared" si="4"/>
        <v>623</v>
      </c>
      <c r="I42" s="16"/>
      <c r="J42" s="6" t="s">
        <v>3</v>
      </c>
      <c r="K42" s="15"/>
      <c r="L42" s="15"/>
      <c r="M42" s="15"/>
      <c r="N42" s="15"/>
      <c r="O42" s="7">
        <f t="shared" ref="O42" si="7">+N42*I42</f>
        <v>0</v>
      </c>
    </row>
    <row r="43" spans="1:15" x14ac:dyDescent="0.35">
      <c r="A43" s="71">
        <v>7</v>
      </c>
      <c r="B43" s="72" t="s">
        <v>3</v>
      </c>
      <c r="C43" s="73" t="s">
        <v>31</v>
      </c>
      <c r="D43" s="72" t="str">
        <f>IF(C43&lt;&gt;"",VLOOKUP(C43,Preciario!$A$2:$D$66,2,FALSE),"")</f>
        <v>LIC_CAM</v>
      </c>
      <c r="E43" s="73" t="str">
        <f>IF(C43&lt;&gt;"",VLOOKUP(C43,Preciario!$A$2:$D$66,3,FALSE),"")</f>
        <v xml:space="preserve">Licenciamiento de cámara en servidor </v>
      </c>
      <c r="F43" s="24">
        <f>IF(C43&lt;&gt;"",VLOOKUP(C43,Preciario!$A$2:$D$66,4,FALSE),"")</f>
        <v>159.05000000000001</v>
      </c>
      <c r="G43" s="24">
        <f t="shared" si="4"/>
        <v>1113.3500000000001</v>
      </c>
      <c r="I43" s="16"/>
      <c r="J43" s="6" t="s">
        <v>3</v>
      </c>
      <c r="K43" s="15"/>
      <c r="L43" s="15"/>
      <c r="M43" s="15"/>
      <c r="N43" s="15"/>
      <c r="O43" s="7">
        <f t="shared" si="6"/>
        <v>0</v>
      </c>
    </row>
    <row r="44" spans="1:15" ht="87.5" x14ac:dyDescent="0.35">
      <c r="A44" s="71">
        <v>8</v>
      </c>
      <c r="B44" s="72" t="s">
        <v>3</v>
      </c>
      <c r="C44" s="73" t="s">
        <v>190</v>
      </c>
      <c r="D44" s="72" t="str">
        <f>IF(C44&lt;&gt;"",VLOOKUP(C44,Preciario!$A$2:$D$66,2,FALSE),"")</f>
        <v>DE.3001</v>
      </c>
      <c r="E44" s="73" t="str">
        <f>IF(C44&lt;&gt;"",VLOOKUP(C44,Preciario!$A$2:$D$66,3,FALSE),"")</f>
        <v xml:space="preserve">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 Incluida instalación y configuración. </v>
      </c>
      <c r="F44" s="24">
        <f>IF(C44&lt;&gt;"",VLOOKUP(C44,Preciario!$A$2:$D$66,4,FALSE),"")</f>
        <v>392</v>
      </c>
      <c r="G44" s="24">
        <f t="shared" si="4"/>
        <v>3136</v>
      </c>
      <c r="I44" s="16"/>
      <c r="J44" s="6" t="s">
        <v>3</v>
      </c>
      <c r="K44" s="15"/>
      <c r="L44" s="15"/>
      <c r="M44" s="15"/>
      <c r="N44" s="15"/>
      <c r="O44" s="7">
        <f t="shared" ref="O44" si="8">+N44*I44</f>
        <v>0</v>
      </c>
    </row>
    <row r="45" spans="1:15" ht="50" x14ac:dyDescent="0.35">
      <c r="A45" s="71">
        <v>8</v>
      </c>
      <c r="B45" s="72" t="s">
        <v>3</v>
      </c>
      <c r="C45" s="73" t="s">
        <v>189</v>
      </c>
      <c r="D45" s="72" t="str">
        <f>IF(C45&lt;&gt;"",VLOOKUP(C45,Preciario!$A$2:$D$66,2,FALSE),"")</f>
        <v>ACAP PER_DEF</v>
      </c>
      <c r="E45" s="73" t="str">
        <f>IF(C45&lt;&gt;"",VLOOKUP(C45,Preciario!$A$2:$D$66,3,FALSE),"")</f>
        <v xml:space="preserve">Licencia de unidad única para AXIS Perimeter Defender, una aplicación de análisis de video escalable y flexible para vigilancia y protección perimetral. Incluida instalación y configuración. </v>
      </c>
      <c r="F45" s="24">
        <f>IF(C45&lt;&gt;"",VLOOKUP(C45,Preciario!$A$2:$D$66,4,FALSE),"")</f>
        <v>299</v>
      </c>
      <c r="G45" s="24">
        <f t="shared" si="4"/>
        <v>2392</v>
      </c>
      <c r="I45" s="16"/>
      <c r="J45" s="6" t="s">
        <v>3</v>
      </c>
      <c r="K45" s="15"/>
      <c r="L45" s="15"/>
      <c r="M45" s="15"/>
      <c r="N45" s="15"/>
      <c r="O45" s="7">
        <f t="shared" si="6"/>
        <v>0</v>
      </c>
    </row>
    <row r="46" spans="1:15" ht="112.5" x14ac:dyDescent="0.35">
      <c r="A46" s="71">
        <v>2</v>
      </c>
      <c r="B46" s="72" t="s">
        <v>3</v>
      </c>
      <c r="C46" s="73" t="s">
        <v>236</v>
      </c>
      <c r="D46" s="72" t="str">
        <f>IF(C46&lt;&gt;"",VLOOKUP(C46,Preciario!$A$2:$D$66,2,FALSE),"")</f>
        <v>IGS-5225-8P2S2X</v>
      </c>
      <c r="E46" s="73" t="str">
        <f>IF(C46&lt;&gt;"",VLOOKUP(C46,Preciario!$A$2:$D$66,3,FALSE),"")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46" s="24">
        <f>IF(C46&lt;&gt;"",VLOOKUP(C46,Preciario!$A$2:$D$66,4,FALSE),"")</f>
        <v>957.6</v>
      </c>
      <c r="G46" s="24">
        <f t="shared" si="4"/>
        <v>1915.2</v>
      </c>
      <c r="I46" s="16"/>
      <c r="J46" s="6" t="s">
        <v>3</v>
      </c>
      <c r="K46" s="15"/>
      <c r="L46" s="15"/>
      <c r="M46" s="15"/>
      <c r="N46" s="15"/>
      <c r="O46" s="7">
        <f t="shared" si="6"/>
        <v>0</v>
      </c>
    </row>
    <row r="47" spans="1:15" ht="25" x14ac:dyDescent="0.35">
      <c r="A47" s="71">
        <v>2</v>
      </c>
      <c r="B47" s="72" t="s">
        <v>3</v>
      </c>
      <c r="C47" s="73" t="s">
        <v>238</v>
      </c>
      <c r="D47" s="72" t="str">
        <f>IF(C47&lt;&gt;"",VLOOKUP(C47,Preciario!$A$2:$D$66,2,FALSE),"")</f>
        <v>NDR 480-48</v>
      </c>
      <c r="E47" s="73" t="str">
        <f>IF(C47&lt;&gt;"",VLOOKUP(C47,Preciario!$A$2:$D$66,3,FALSE),"")</f>
        <v>Fuente de alimentación de carril DIN de 48 V, 480 W salida de CC ajustable de 48-56 V (-20 ~ 70 grados C)</v>
      </c>
      <c r="F47" s="24">
        <f>IF(C47&lt;&gt;"",VLOOKUP(C47,Preciario!$A$2:$D$66,4,FALSE),"")</f>
        <v>270</v>
      </c>
      <c r="G47" s="24">
        <f t="shared" si="4"/>
        <v>540</v>
      </c>
      <c r="I47" s="16"/>
      <c r="J47" s="6" t="s">
        <v>3</v>
      </c>
      <c r="K47" s="15"/>
      <c r="L47" s="15"/>
      <c r="M47" s="15"/>
      <c r="N47" s="15"/>
      <c r="O47" s="7">
        <f t="shared" si="6"/>
        <v>0</v>
      </c>
    </row>
    <row r="48" spans="1:15" ht="25" x14ac:dyDescent="0.35">
      <c r="A48" s="71">
        <v>4</v>
      </c>
      <c r="B48" s="72" t="s">
        <v>3</v>
      </c>
      <c r="C48" s="73" t="s">
        <v>242</v>
      </c>
      <c r="D48" s="72" t="str">
        <f>IF(C48&lt;&gt;"",VLOOKUP(C48,Preciario!$A$2:$D$66,2,FALSE),"")</f>
        <v>MTB-TSR</v>
      </c>
      <c r="E48" s="73" t="str">
        <f>IF(C48&lt;&gt;"",VLOOKUP(C48,Preciario!$A$2:$D$66,3,FALSE),"")</f>
        <v>Módulo de fibra óptica 10GBASE-SR SFP+ de 1 puerto - 300 m (-40~75 grados C)</v>
      </c>
      <c r="F48" s="24">
        <f>IF(C48&lt;&gt;"",VLOOKUP(C48,Preciario!$A$2:$D$66,4,FALSE),"")</f>
        <v>105</v>
      </c>
      <c r="G48" s="24">
        <f t="shared" si="4"/>
        <v>420</v>
      </c>
      <c r="I48" s="16"/>
      <c r="J48" s="6" t="s">
        <v>3</v>
      </c>
      <c r="K48" s="15"/>
      <c r="L48" s="15"/>
      <c r="M48" s="15"/>
      <c r="N48" s="15"/>
      <c r="O48" s="7">
        <f t="shared" si="6"/>
        <v>0</v>
      </c>
    </row>
    <row r="49" spans="1:15" ht="98.15" customHeight="1" x14ac:dyDescent="0.35">
      <c r="A49" s="71">
        <v>2</v>
      </c>
      <c r="B49" s="72" t="s">
        <v>3</v>
      </c>
      <c r="C49" s="73" t="s">
        <v>42</v>
      </c>
      <c r="D49" s="72" t="str">
        <f>IF(C49&lt;&gt;"",VLOOKUP(C49,Preciario!$A$2:$D$66,2,FALSE),"")</f>
        <v>AM60x40</v>
      </c>
      <c r="E49" s="73" t="str">
        <f>IF(C49&lt;&gt;"",VLOOKUP(C49,Preciario!$A$2:$D$66,3,FALSE),"")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49" s="24">
        <f>IF(C49&lt;&gt;"",VLOOKUP(C49,Preciario!$A$2:$D$66,4,FALSE),"")</f>
        <v>862.465236111114</v>
      </c>
      <c r="G49" s="24">
        <f t="shared" si="4"/>
        <v>1724.930472222228</v>
      </c>
      <c r="I49" s="16"/>
      <c r="J49" s="6" t="s">
        <v>3</v>
      </c>
      <c r="K49" s="15"/>
      <c r="L49" s="15"/>
      <c r="M49" s="15"/>
      <c r="N49" s="15"/>
      <c r="O49" s="7">
        <f t="shared" si="6"/>
        <v>0</v>
      </c>
    </row>
    <row r="50" spans="1:15" ht="37.5" x14ac:dyDescent="0.35">
      <c r="A50" s="71">
        <v>2</v>
      </c>
      <c r="B50" s="72" t="s">
        <v>3</v>
      </c>
      <c r="C50" s="73" t="s">
        <v>247</v>
      </c>
      <c r="D50" s="72" t="str">
        <f>IF(C50&lt;&gt;"",VLOOKUP(C50,Preciario!$A$2:$D$66,2,FALSE),"")</f>
        <v>Caja FO IP67</v>
      </c>
      <c r="E50" s="73" t="str">
        <f>IF(C50&lt;&gt;"",VLOOKUP(C50,Preciario!$A$2:$D$66,3,FALSE),"")</f>
        <v>Caja de distribución de fibra óptica caja de distribución de 1 a 16 puertos, capacidad para 24 empalmes en bandejas, impermeable, para exteriores, IP67</v>
      </c>
      <c r="F50" s="24">
        <f>IF(C50&lt;&gt;"",VLOOKUP(C50,Preciario!$A$2:$D$66,4,FALSE),"")</f>
        <v>52</v>
      </c>
      <c r="G50" s="24">
        <f t="shared" si="4"/>
        <v>104</v>
      </c>
      <c r="I50" s="16"/>
      <c r="J50" s="6" t="s">
        <v>3</v>
      </c>
      <c r="K50" s="15"/>
      <c r="L50" s="15"/>
      <c r="M50" s="15"/>
      <c r="N50" s="15"/>
      <c r="O50" s="7">
        <f t="shared" si="6"/>
        <v>0</v>
      </c>
    </row>
    <row r="51" spans="1:15" x14ac:dyDescent="0.35">
      <c r="A51" s="71">
        <v>2</v>
      </c>
      <c r="B51" s="72" t="s">
        <v>3</v>
      </c>
      <c r="C51" s="73" t="s">
        <v>36</v>
      </c>
      <c r="D51" s="72" t="str">
        <f>IF(C51&lt;&gt;"",VLOOKUP(C51,Preciario!$A$2:$D$66,2,FALSE),"")</f>
        <v>BAR_IR</v>
      </c>
      <c r="E51" s="73" t="str">
        <f>IF(C51&lt;&gt;"",VLOOKUP(C51,Preciario!$A$2:$D$66,3,FALSE),"")</f>
        <v>Ampliación modulo completo de haz de insfrarojos</v>
      </c>
      <c r="F51" s="24">
        <f>IF(C51&lt;&gt;"",VLOOKUP(C51,Preciario!$A$2:$D$66,4,FALSE),"")</f>
        <v>1750</v>
      </c>
      <c r="G51" s="24">
        <f t="shared" si="4"/>
        <v>3500</v>
      </c>
      <c r="I51" s="16"/>
      <c r="J51" s="6" t="s">
        <v>3</v>
      </c>
      <c r="K51" s="15"/>
      <c r="L51" s="15"/>
      <c r="M51" s="15"/>
      <c r="N51" s="15"/>
      <c r="O51" s="7">
        <f>+N51*I51</f>
        <v>0</v>
      </c>
    </row>
    <row r="52" spans="1:15" x14ac:dyDescent="0.35">
      <c r="A52" s="71">
        <v>200</v>
      </c>
      <c r="B52" s="72" t="s">
        <v>10</v>
      </c>
      <c r="C52" s="73" t="s">
        <v>275</v>
      </c>
      <c r="D52" s="72" t="str">
        <f>IF(C52&lt;&gt;"",VLOOKUP(C52,Preciario!$A$2:$D$66,2,FALSE),"")</f>
        <v>C_ELE_3X2,5</v>
      </c>
      <c r="E52" s="73" t="str">
        <f>IF(C52&lt;&gt;"",VLOOKUP(C52,Preciario!$A$2:$D$66,3,FALSE),"")</f>
        <v>Suministro e instalación de manguera exterior RZ1-K 3x2,5mm</v>
      </c>
      <c r="F52" s="24">
        <f>IF(C52&lt;&gt;"",VLOOKUP(C52,Preciario!$A$2:$D$66,4,FALSE),"")</f>
        <v>4</v>
      </c>
      <c r="G52" s="24">
        <f t="shared" si="4"/>
        <v>800</v>
      </c>
      <c r="I52" s="16"/>
      <c r="J52" s="6" t="s">
        <v>10</v>
      </c>
      <c r="K52" s="15"/>
      <c r="L52" s="15"/>
      <c r="M52" s="15"/>
      <c r="N52" s="15"/>
      <c r="O52" s="7">
        <f t="shared" si="6"/>
        <v>0</v>
      </c>
    </row>
    <row r="53" spans="1:15" ht="62.5" x14ac:dyDescent="0.35">
      <c r="A53" s="71">
        <v>460</v>
      </c>
      <c r="B53" s="72" t="s">
        <v>10</v>
      </c>
      <c r="C53" s="73" t="s">
        <v>277</v>
      </c>
      <c r="D53" s="72" t="str">
        <f>IF(C53&lt;&gt;"",VLOOKUP(C53,Preciario!$A$2:$D$66,2,FALSE),"")</f>
        <v>FTP_CAT6A/CAT7</v>
      </c>
      <c r="E53" s="73" t="str">
        <f>IF(C53&lt;&gt;"",VLOOKUP(C53,Preciario!$A$2:$D$66,3,FALSE),"")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53" s="24">
        <f>IF(C53&lt;&gt;"",VLOOKUP(C53,Preciario!$A$2:$D$66,4,FALSE),"")</f>
        <v>4.8</v>
      </c>
      <c r="G53" s="24">
        <f t="shared" si="4"/>
        <v>2208</v>
      </c>
      <c r="I53" s="16"/>
      <c r="J53" s="6" t="s">
        <v>10</v>
      </c>
      <c r="K53" s="15"/>
      <c r="L53" s="15"/>
      <c r="M53" s="15"/>
      <c r="N53" s="15"/>
      <c r="O53" s="7">
        <f t="shared" si="6"/>
        <v>0</v>
      </c>
    </row>
    <row r="54" spans="1:15" ht="50" x14ac:dyDescent="0.35">
      <c r="A54" s="71">
        <v>620</v>
      </c>
      <c r="B54" s="72" t="s">
        <v>10</v>
      </c>
      <c r="C54" s="73" t="s">
        <v>278</v>
      </c>
      <c r="D54" s="72" t="str">
        <f>IF(C54&lt;&gt;"",VLOOKUP(C54,Preciario!$A$2:$D$66,2,FALSE),"")</f>
        <v>FO_OS2</v>
      </c>
      <c r="E54" s="73" t="str">
        <f>IF(C54&lt;&gt;"",VLOOKUP(C54,Preciario!$A$2:$D$66,3,FALSE),"")</f>
        <v xml:space="preserve">Suministro e instalación de manguera de fibra óptica de exterior con cubierta de PE protección UV, malla-chapa antiroedor, CPR, 12 FO SM, de tipo OS2 pp. Conexionado fusiones y certificación </v>
      </c>
      <c r="F54" s="24">
        <f>IF(C54&lt;&gt;"",VLOOKUP(C54,Preciario!$A$2:$D$66,4,FALSE),"")</f>
        <v>5.2</v>
      </c>
      <c r="G54" s="24">
        <f t="shared" si="4"/>
        <v>3224</v>
      </c>
      <c r="I54" s="16"/>
      <c r="J54" s="6" t="s">
        <v>10</v>
      </c>
      <c r="K54" s="15"/>
      <c r="L54" s="15"/>
      <c r="M54" s="15"/>
      <c r="N54" s="15"/>
      <c r="O54" s="7">
        <f t="shared" ref="O54:O59" si="9">+N54*I54</f>
        <v>0</v>
      </c>
    </row>
    <row r="55" spans="1:15" ht="75" x14ac:dyDescent="0.35">
      <c r="A55" s="79">
        <v>6</v>
      </c>
      <c r="B55" s="72" t="s">
        <v>3</v>
      </c>
      <c r="C55" s="73" t="s">
        <v>234</v>
      </c>
      <c r="D55" s="72" t="str">
        <f>IF(C55&lt;&gt;"",VLOOKUP(C55,Preciario!$A$2:$D$66,2,FALSE),"")</f>
        <v>ZPT606060</v>
      </c>
      <c r="E55" s="73" t="str">
        <f>IF(C55&lt;&gt;"",VLOOKUP(C55,Preciario!$A$2:$D$66,3,FALSE),"")</f>
        <v>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v>
      </c>
      <c r="F55" s="24">
        <f>IF(C55&lt;&gt;"",VLOOKUP(C55,Preciario!$A$2:$D$66,4,FALSE),"")</f>
        <v>226.5</v>
      </c>
      <c r="G55" s="24">
        <f t="shared" si="4"/>
        <v>1359</v>
      </c>
      <c r="I55" s="16"/>
      <c r="J55" s="6" t="s">
        <v>3</v>
      </c>
      <c r="K55" s="15"/>
      <c r="L55" s="15"/>
      <c r="M55" s="15"/>
      <c r="N55" s="15"/>
      <c r="O55" s="7">
        <f t="shared" si="9"/>
        <v>0</v>
      </c>
    </row>
    <row r="56" spans="1:15" ht="37.5" x14ac:dyDescent="0.35">
      <c r="A56" s="71">
        <v>1</v>
      </c>
      <c r="B56" s="72" t="s">
        <v>3</v>
      </c>
      <c r="C56" s="73" t="s">
        <v>286</v>
      </c>
      <c r="D56" s="72" t="str">
        <f>IF(C56&lt;&gt;"",VLOOKUP(C56,Preciario!$A$2:$D$66,2,FALSE),"")</f>
        <v>Río</v>
      </c>
      <c r="E56" s="73" t="str">
        <f>IF(C56&lt;&gt;"",VLOOKUP(C56,Preciario!$A$2:$D$66,3,FALSE),"")</f>
        <v>Módulo expansor de zonas, para ampliación de la capacidad de entradas de la central de intrusión ofertada. Incluida fuente de alimentación y batería</v>
      </c>
      <c r="F56" s="24">
        <f>IF(C56&lt;&gt;"",VLOOKUP(C56,Preciario!$A$2:$D$66,4,FALSE),"")</f>
        <v>350</v>
      </c>
      <c r="G56" s="24">
        <f t="shared" si="4"/>
        <v>350</v>
      </c>
      <c r="I56" s="16"/>
      <c r="J56" s="6" t="s">
        <v>3</v>
      </c>
      <c r="K56" s="15"/>
      <c r="L56" s="15"/>
      <c r="M56" s="15"/>
      <c r="N56" s="15"/>
      <c r="O56" s="7">
        <f t="shared" si="9"/>
        <v>0</v>
      </c>
    </row>
    <row r="57" spans="1:15" ht="100" x14ac:dyDescent="0.35">
      <c r="A57" s="71">
        <v>2</v>
      </c>
      <c r="B57" s="72" t="s">
        <v>3</v>
      </c>
      <c r="C57" s="73" t="s">
        <v>289</v>
      </c>
      <c r="D57" s="72" t="str">
        <f>IF(C57&lt;&gt;"",VLOOKUP(C57,Preciario!$A$2:$D$66,2,FALSE),"")</f>
        <v>MOXA Iologik E1214</v>
      </c>
      <c r="E57" s="73" t="str">
        <f>IF(C57&lt;&gt;"",VLOOKUP(C57,Preciario!$A$2:$D$66,3,FALSE),"")</f>
        <v>Módulo de E/S digitales Ethernet. Seis puertos de entrada digital y 6 puertos de salida digital mediante Relé. Entradas digitales: 6 canales. Relés: 6 canales. Aislamiento: 3k VDC o 2k Vrms. Tipo de sensor: contacto húmedo (NPN o PNP), contacto seco. Modo I/O: DI o contador de eventos. Contacto seco: Encendido: corto a GND. Apagado: abierto. Contacto húmedo (DI a COM): Encendido: 10 a 30 VCC. Apagado: 0 a 3 VCC. Según características descritas en PPT.</v>
      </c>
      <c r="F57" s="24">
        <f>IF(C57&lt;&gt;"",VLOOKUP(C57,Preciario!$A$2:$D$66,4,FALSE),"")</f>
        <v>300</v>
      </c>
      <c r="G57" s="24">
        <f t="shared" si="4"/>
        <v>600</v>
      </c>
      <c r="I57" s="16"/>
      <c r="J57" s="6" t="s">
        <v>3</v>
      </c>
      <c r="K57" s="15"/>
      <c r="L57" s="15"/>
      <c r="M57" s="15"/>
      <c r="N57" s="15"/>
      <c r="O57" s="7">
        <f t="shared" si="9"/>
        <v>0</v>
      </c>
    </row>
    <row r="58" spans="1:15" ht="25" x14ac:dyDescent="0.35">
      <c r="A58" s="71">
        <v>1</v>
      </c>
      <c r="B58" s="72" t="s">
        <v>11</v>
      </c>
      <c r="C58" s="73" t="s">
        <v>307</v>
      </c>
      <c r="D58" s="72" t="s">
        <v>164</v>
      </c>
      <c r="E58" s="73" t="str">
        <f>IF(C58&lt;&gt;"",VLOOKUP(C58,Preciario!$A$2:$D$66,3,FALSE),"")</f>
        <v>Partida de mano de obra para configuración módulos IO en abonado CRA</v>
      </c>
      <c r="F58" s="24">
        <v>350</v>
      </c>
      <c r="G58" s="24">
        <f t="shared" si="4"/>
        <v>350</v>
      </c>
      <c r="I58" s="16"/>
      <c r="J58" s="6" t="s">
        <v>11</v>
      </c>
      <c r="K58" s="15"/>
      <c r="L58" s="15"/>
      <c r="M58" s="15"/>
      <c r="N58" s="15"/>
      <c r="O58" s="7">
        <f t="shared" ref="O58" si="10">+N58*I58</f>
        <v>0</v>
      </c>
    </row>
    <row r="59" spans="1:15" ht="25" x14ac:dyDescent="0.35">
      <c r="A59" s="71">
        <f>'Presupuesto Total'!D32</f>
        <v>1</v>
      </c>
      <c r="B59" s="72" t="s">
        <v>11</v>
      </c>
      <c r="C59" s="73" t="s">
        <v>163</v>
      </c>
      <c r="D59" s="72" t="s">
        <v>164</v>
      </c>
      <c r="E59" s="73" t="str">
        <f>IF(C59&lt;&gt;"",VLOOKUP(C59,Preciario!$A$2:$D$66,3,FALSE),"")</f>
        <v>Partida ayudas auxiliares en equipamiento y mano de obra en sistemas de energía</v>
      </c>
      <c r="F59" s="24">
        <v>2093.6275000000001</v>
      </c>
      <c r="G59" s="24">
        <f t="shared" si="4"/>
        <v>2093.6275000000001</v>
      </c>
      <c r="I59" s="16"/>
      <c r="J59" s="6" t="s">
        <v>11</v>
      </c>
      <c r="K59" s="15"/>
      <c r="L59" s="15"/>
      <c r="M59" s="15"/>
      <c r="N59" s="15"/>
      <c r="O59" s="7">
        <f t="shared" si="9"/>
        <v>0</v>
      </c>
    </row>
    <row r="60" spans="1:15" ht="25" x14ac:dyDescent="0.35">
      <c r="A60" s="71">
        <f>'Presupuesto Total'!D33</f>
        <v>1</v>
      </c>
      <c r="B60" s="72" t="s">
        <v>11</v>
      </c>
      <c r="C60" s="73" t="s">
        <v>185</v>
      </c>
      <c r="D60" s="72" t="s">
        <v>162</v>
      </c>
      <c r="E60" s="73" t="str">
        <f>IF(C60&lt;&gt;"",VLOOKUP(C60,Preciario!$A$2:$D$66,3,FALSE),"")</f>
        <v>Partida ayudas auxiliares en equipamiento y mano de obra en albañilería</v>
      </c>
      <c r="F60" s="24">
        <v>2093.6275000000001</v>
      </c>
      <c r="G60" s="24">
        <f t="shared" si="4"/>
        <v>2093.6275000000001</v>
      </c>
      <c r="I60" s="16"/>
      <c r="J60" s="6" t="s">
        <v>11</v>
      </c>
      <c r="K60" s="15"/>
      <c r="L60" s="15"/>
      <c r="M60" s="15"/>
      <c r="N60" s="15"/>
      <c r="O60" s="7">
        <f t="shared" ref="O60" si="11">+N60*I60</f>
        <v>0</v>
      </c>
    </row>
    <row r="61" spans="1:15" x14ac:dyDescent="0.35">
      <c r="A61" s="8"/>
      <c r="B61" s="8"/>
      <c r="C61" s="9"/>
      <c r="D61" s="9"/>
      <c r="E61" s="69"/>
      <c r="F61" s="19" t="s">
        <v>4</v>
      </c>
      <c r="G61" s="20">
        <f>SUM(G39:G60)</f>
        <v>44769.735472222237</v>
      </c>
      <c r="I61" s="8"/>
      <c r="J61" s="8"/>
      <c r="K61" s="9"/>
      <c r="L61" s="9"/>
      <c r="M61" s="69"/>
      <c r="N61" s="19" t="s">
        <v>4</v>
      </c>
      <c r="O61" s="20">
        <f>SUM(O39:O60)</f>
        <v>0</v>
      </c>
    </row>
    <row r="62" spans="1:15" x14ac:dyDescent="0.35">
      <c r="A62" s="10"/>
      <c r="B62" s="10"/>
      <c r="C62" s="11"/>
      <c r="D62" s="11"/>
      <c r="E62" s="67"/>
      <c r="F62" s="11"/>
      <c r="G62" s="11"/>
      <c r="I62" s="10"/>
      <c r="J62" s="10"/>
      <c r="K62" s="11"/>
      <c r="L62" s="11"/>
      <c r="M62" s="67"/>
      <c r="N62" s="11"/>
      <c r="O62" s="11"/>
    </row>
    <row r="63" spans="1:15" x14ac:dyDescent="0.35">
      <c r="A63" s="198" t="s">
        <v>209</v>
      </c>
      <c r="B63" s="199"/>
      <c r="C63" s="200"/>
      <c r="D63" s="4"/>
      <c r="E63" s="68"/>
      <c r="F63" s="4"/>
      <c r="G63" s="5"/>
      <c r="I63" s="198" t="s">
        <v>193</v>
      </c>
      <c r="J63" s="199"/>
      <c r="K63" s="200"/>
      <c r="L63" s="87"/>
      <c r="M63" s="68"/>
      <c r="N63" s="4"/>
      <c r="O63" s="4"/>
    </row>
    <row r="64" spans="1:15" x14ac:dyDescent="0.35">
      <c r="A64" s="197" t="s">
        <v>0</v>
      </c>
      <c r="B64" s="197"/>
      <c r="C64" s="12" t="s">
        <v>13</v>
      </c>
      <c r="D64" s="12" t="s">
        <v>14</v>
      </c>
      <c r="E64" s="12" t="s">
        <v>256</v>
      </c>
      <c r="F64" s="12" t="s">
        <v>2</v>
      </c>
      <c r="G64" s="13" t="s">
        <v>7</v>
      </c>
      <c r="I64" s="197" t="s">
        <v>0</v>
      </c>
      <c r="J64" s="197"/>
      <c r="K64" s="12" t="s">
        <v>13</v>
      </c>
      <c r="L64" s="12" t="s">
        <v>14</v>
      </c>
      <c r="M64" s="12" t="s">
        <v>256</v>
      </c>
      <c r="N64" s="12" t="s">
        <v>2</v>
      </c>
      <c r="O64" s="13" t="s">
        <v>7</v>
      </c>
    </row>
    <row r="65" spans="1:15" x14ac:dyDescent="0.35">
      <c r="A65" s="71">
        <v>2</v>
      </c>
      <c r="B65" s="72" t="s">
        <v>3</v>
      </c>
      <c r="C65" s="73" t="s">
        <v>210</v>
      </c>
      <c r="D65" s="72" t="str">
        <f>IF(C65&lt;&gt;"",VLOOKUP(C65,Preciario!$A$2:$D$66,2,FALSE),"")</f>
        <v>HDD4TB</v>
      </c>
      <c r="E65" s="73" t="str">
        <f>IF(C65&lt;&gt;"",VLOOKUP(C65,Preciario!$A$2:$D$66,3,FALSE),"")</f>
        <v>Disco duro SERVIDOR 4TB</v>
      </c>
      <c r="F65" s="24">
        <f>IF(C65&lt;&gt;"",VLOOKUP(C65,Preciario!$A$2:$D$66,4,FALSE),"")</f>
        <v>236.8</v>
      </c>
      <c r="G65" s="24">
        <f>A65*F65</f>
        <v>473.6</v>
      </c>
      <c r="I65" s="16"/>
      <c r="J65" s="6" t="s">
        <v>3</v>
      </c>
      <c r="K65" s="15"/>
      <c r="L65" s="15"/>
      <c r="M65" s="15"/>
      <c r="N65" s="15"/>
      <c r="O65" s="7">
        <f t="shared" ref="O65:O67" si="12">+N65*I65</f>
        <v>0</v>
      </c>
    </row>
    <row r="66" spans="1:15" x14ac:dyDescent="0.35">
      <c r="A66" s="71">
        <v>10</v>
      </c>
      <c r="B66" s="72" t="s">
        <v>3</v>
      </c>
      <c r="C66" s="73" t="s">
        <v>211</v>
      </c>
      <c r="D66" s="72" t="str">
        <f>IF(C66&lt;&gt;"",VLOOKUP(C66,Preciario!$A$2:$D$66,2,FALSE),"")</f>
        <v>HDD8TB</v>
      </c>
      <c r="E66" s="73" t="str">
        <f>IF(C66&lt;&gt;"",VLOOKUP(C66,Preciario!$A$2:$D$66,3,FALSE),"")</f>
        <v>Disco duro SERVIDOR 8TB</v>
      </c>
      <c r="F66" s="24">
        <f>IF(C66&lt;&gt;"",VLOOKUP(C66,Preciario!$A$2:$D$66,4,FALSE),"")</f>
        <v>427.35</v>
      </c>
      <c r="G66" s="24">
        <f>A66*F66</f>
        <v>4273.5</v>
      </c>
      <c r="I66" s="16"/>
      <c r="J66" s="6" t="s">
        <v>3</v>
      </c>
      <c r="K66" s="15"/>
      <c r="L66" s="15"/>
      <c r="M66" s="15"/>
      <c r="N66" s="15"/>
      <c r="O66" s="7">
        <f t="shared" si="12"/>
        <v>0</v>
      </c>
    </row>
    <row r="67" spans="1:15" x14ac:dyDescent="0.35">
      <c r="A67" s="71">
        <v>1</v>
      </c>
      <c r="B67" s="72" t="s">
        <v>11</v>
      </c>
      <c r="C67" s="80" t="s">
        <v>207</v>
      </c>
      <c r="D67" s="72" t="s">
        <v>208</v>
      </c>
      <c r="E67" s="73" t="s">
        <v>207</v>
      </c>
      <c r="F67" s="24">
        <v>765.9</v>
      </c>
      <c r="G67" s="24">
        <f>A67*F67</f>
        <v>765.9</v>
      </c>
      <c r="I67" s="16"/>
      <c r="J67" s="6" t="s">
        <v>11</v>
      </c>
      <c r="K67" s="15"/>
      <c r="L67" s="15"/>
      <c r="M67" s="15"/>
      <c r="N67" s="15"/>
      <c r="O67" s="7">
        <f t="shared" si="12"/>
        <v>0</v>
      </c>
    </row>
    <row r="68" spans="1:15" x14ac:dyDescent="0.35">
      <c r="A68" s="8"/>
      <c r="B68" s="8"/>
      <c r="C68" s="9"/>
      <c r="D68" s="9"/>
      <c r="E68" s="69"/>
      <c r="F68" s="19" t="s">
        <v>4</v>
      </c>
      <c r="G68" s="20">
        <f>SUM(G65:G67)</f>
        <v>5513</v>
      </c>
      <c r="I68" s="8"/>
      <c r="J68" s="8"/>
      <c r="K68" s="9"/>
      <c r="L68" s="9"/>
      <c r="M68" s="69"/>
      <c r="N68" s="19" t="s">
        <v>4</v>
      </c>
      <c r="O68" s="20">
        <f>SUM(O65:O67)</f>
        <v>0</v>
      </c>
    </row>
    <row r="69" spans="1:15" x14ac:dyDescent="0.35">
      <c r="A69" s="10"/>
      <c r="B69" s="10"/>
      <c r="C69" s="11"/>
      <c r="D69" s="11"/>
      <c r="E69" s="67"/>
      <c r="F69" s="11"/>
      <c r="G69" s="11"/>
      <c r="I69" s="10"/>
      <c r="J69" s="10"/>
      <c r="K69" s="11"/>
      <c r="L69" s="11"/>
      <c r="M69" s="67"/>
      <c r="N69" s="11"/>
      <c r="O69" s="11"/>
    </row>
    <row r="70" spans="1:15" x14ac:dyDescent="0.35">
      <c r="A70" s="194" t="s">
        <v>99</v>
      </c>
      <c r="B70" s="195"/>
      <c r="C70" s="195"/>
      <c r="D70" s="195"/>
      <c r="E70" s="195"/>
      <c r="F70" s="196"/>
      <c r="G70" s="22">
        <f>G35+G61+G68</f>
        <v>60150.115944444464</v>
      </c>
      <c r="I70" s="194" t="s">
        <v>99</v>
      </c>
      <c r="J70" s="195"/>
      <c r="K70" s="195"/>
      <c r="L70" s="195"/>
      <c r="M70" s="195"/>
      <c r="N70" s="196"/>
      <c r="O70" s="25">
        <f>O35+O61+O68</f>
        <v>0</v>
      </c>
    </row>
  </sheetData>
  <sheetProtection algorithmName="SHA-512" hashValue="iEpPiT4s1fk639C2La+aIkGkc6k+U+QyHPL3LVUD6S0/UZ6brQWIBHeO7FASpqnl61Q7Zlud9cMZixveXqmQ1Q==" saltValue="uSwRUh4zBZ6YEmbpUMRH4Q==" spinCount="100000" sheet="1" selectLockedCells="1"/>
  <mergeCells count="17">
    <mergeCell ref="D3:K6"/>
    <mergeCell ref="A9:O9"/>
    <mergeCell ref="C11:D11"/>
    <mergeCell ref="K11:L11"/>
    <mergeCell ref="A19:C19"/>
    <mergeCell ref="A70:F70"/>
    <mergeCell ref="I70:N70"/>
    <mergeCell ref="A20:B20"/>
    <mergeCell ref="I20:J20"/>
    <mergeCell ref="A37:C37"/>
    <mergeCell ref="I37:K37"/>
    <mergeCell ref="A38:B38"/>
    <mergeCell ref="I38:J38"/>
    <mergeCell ref="A63:C63"/>
    <mergeCell ref="I63:K63"/>
    <mergeCell ref="A64:B64"/>
    <mergeCell ref="I64:J64"/>
  </mergeCells>
  <dataValidations count="2">
    <dataValidation type="decimal" allowBlank="1" showInputMessage="1" showErrorMessage="1" error="Introducir Precio Unitario" sqref="N20 F38 F20 F64" xr:uid="{9C674878-6967-4EB0-A370-8DAB61C3E387}">
      <formula1>1</formula1>
      <formula2>100000</formula2>
    </dataValidation>
    <dataValidation type="whole" allowBlank="1" showInputMessage="1" showErrorMessage="1" error="Introducir Unidades" sqref="A64 A20 A38 I20" xr:uid="{3B0D524B-EBBA-4147-B598-8BA8D25860BF}">
      <formula1>1</formula1>
      <formula2>1000</formula2>
    </dataValidation>
  </dataValidations>
  <hyperlinks>
    <hyperlink ref="H11" location="'Presupuesto Total'!A1" display="ÍNDICE" xr:uid="{9391F074-BA7C-4005-ADE8-AC001C79DA64}"/>
  </hyperlinks>
  <pageMargins left="0.7" right="0.7" top="0.75" bottom="0.75" header="0.3" footer="0.3"/>
  <pageSetup paperSize="9" orientation="portrait" r:id="rId1"/>
  <ignoredErrors>
    <ignoredError sqref="E33"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E4DF5-3365-4E17-9939-D0A35AB6C6AF}">
  <dimension ref="A3:U82"/>
  <sheetViews>
    <sheetView showGridLines="0" showRowColHeaders="0" topLeftCell="E69" zoomScale="70" zoomScaleNormal="70" workbookViewId="0">
      <selection activeCell="K77" activeCellId="7" sqref="I22:I36 K22:N36 I41:I62 K41:N62 I67:I72 K67:N72 I77:I79 K77:N79"/>
    </sheetView>
  </sheetViews>
  <sheetFormatPr baseColWidth="10" defaultColWidth="11.54296875" defaultRowHeight="14.5" x14ac:dyDescent="0.35"/>
  <cols>
    <col min="1" max="1" width="8.08984375" style="1" bestFit="1" customWidth="1"/>
    <col min="2" max="2" width="3" style="1" bestFit="1" customWidth="1"/>
    <col min="3" max="3" width="59.90625" style="1" customWidth="1"/>
    <col min="4" max="4" width="19.54296875" style="1" bestFit="1" customWidth="1"/>
    <col min="5" max="5" width="51.08984375" style="1" customWidth="1"/>
    <col min="6" max="6" width="13.54296875" style="1" bestFit="1" customWidth="1"/>
    <col min="7" max="7" width="14.90625" style="1" bestFit="1" customWidth="1"/>
    <col min="8" max="9" width="11.54296875" style="1"/>
    <col min="10" max="10" width="3.453125" style="1" bestFit="1" customWidth="1"/>
    <col min="11" max="11" width="48.90625" style="1" bestFit="1" customWidth="1"/>
    <col min="12" max="12" width="19.54296875" style="1" bestFit="1" customWidth="1"/>
    <col min="13" max="13" width="22.453125" style="1" customWidth="1"/>
    <col min="14" max="14" width="16" style="1" bestFit="1" customWidth="1"/>
    <col min="15" max="15" width="14.453125" style="1" bestFit="1" customWidth="1"/>
    <col min="16" max="16384" width="11.54296875" style="1"/>
  </cols>
  <sheetData>
    <row r="3" spans="1:21" ht="14.4" customHeight="1" x14ac:dyDescent="0.35">
      <c r="D3" s="201" t="s">
        <v>100</v>
      </c>
      <c r="E3" s="202"/>
      <c r="F3" s="202"/>
      <c r="G3" s="202"/>
      <c r="H3" s="202"/>
      <c r="I3" s="202"/>
      <c r="J3" s="202"/>
      <c r="K3" s="202"/>
      <c r="N3" s="23"/>
    </row>
    <row r="4" spans="1:21" ht="14.4" customHeight="1" x14ac:dyDescent="0.35">
      <c r="D4" s="201"/>
      <c r="E4" s="202"/>
      <c r="F4" s="202"/>
      <c r="G4" s="202"/>
      <c r="H4" s="202"/>
      <c r="I4" s="202"/>
      <c r="J4" s="202"/>
      <c r="K4" s="202"/>
      <c r="N4" s="23"/>
    </row>
    <row r="5" spans="1:21" ht="14.4" customHeight="1" x14ac:dyDescent="0.35">
      <c r="D5" s="201"/>
      <c r="E5" s="202"/>
      <c r="F5" s="202"/>
      <c r="G5" s="202"/>
      <c r="H5" s="202"/>
      <c r="I5" s="202"/>
      <c r="J5" s="202"/>
      <c r="K5" s="202"/>
      <c r="N5" s="23"/>
    </row>
    <row r="6" spans="1:21" ht="14.4" customHeight="1" x14ac:dyDescent="0.35">
      <c r="D6" s="201"/>
      <c r="E6" s="202"/>
      <c r="F6" s="202"/>
      <c r="G6" s="202"/>
      <c r="H6" s="202"/>
      <c r="I6" s="202"/>
      <c r="J6" s="202"/>
      <c r="K6" s="202"/>
      <c r="N6" s="23"/>
    </row>
    <row r="7" spans="1:21" ht="14.4" customHeight="1" x14ac:dyDescent="0.35">
      <c r="N7" s="23"/>
    </row>
    <row r="8" spans="1:21" ht="14.4" customHeight="1" x14ac:dyDescent="0.35">
      <c r="F8" s="23"/>
      <c r="G8" s="23"/>
      <c r="H8" s="23"/>
      <c r="I8" s="23"/>
      <c r="J8" s="23"/>
      <c r="K8" s="23"/>
      <c r="L8" s="23"/>
      <c r="M8" s="23"/>
      <c r="N8" s="23"/>
    </row>
    <row r="9" spans="1:21" ht="17.5" x14ac:dyDescent="0.35">
      <c r="A9" s="203"/>
      <c r="B9" s="203"/>
      <c r="C9" s="203"/>
      <c r="D9" s="203"/>
      <c r="E9" s="203"/>
      <c r="F9" s="203"/>
      <c r="G9" s="203"/>
      <c r="H9" s="203"/>
      <c r="I9" s="203"/>
      <c r="J9" s="203"/>
      <c r="K9" s="203"/>
      <c r="L9" s="203"/>
      <c r="M9" s="203"/>
      <c r="N9" s="203"/>
      <c r="O9" s="203"/>
    </row>
    <row r="10" spans="1:21" ht="15" thickBot="1" x14ac:dyDescent="0.4"/>
    <row r="11" spans="1:21" customFormat="1" ht="23.15" customHeight="1" thickBot="1" x14ac:dyDescent="0.4">
      <c r="C11" s="204" t="s">
        <v>16</v>
      </c>
      <c r="D11" s="205"/>
      <c r="E11" s="81"/>
      <c r="H11" s="45" t="s">
        <v>154</v>
      </c>
      <c r="I11" s="1"/>
      <c r="J11" s="1"/>
      <c r="K11" s="204" t="s">
        <v>15</v>
      </c>
      <c r="L11" s="205"/>
      <c r="M11" s="81"/>
      <c r="N11" s="1"/>
      <c r="O11" s="1"/>
      <c r="Q11" s="1"/>
      <c r="R11" s="1"/>
      <c r="S11" s="1"/>
      <c r="T11" s="1"/>
      <c r="U11" s="1"/>
    </row>
    <row r="12" spans="1:21" customFormat="1" x14ac:dyDescent="0.35">
      <c r="C12" s="1"/>
      <c r="D12" s="1"/>
      <c r="E12" s="82"/>
      <c r="F12" s="1"/>
      <c r="G12" s="1"/>
      <c r="I12" s="1"/>
      <c r="J12" s="1"/>
      <c r="K12" s="1"/>
      <c r="L12" s="1"/>
      <c r="M12" s="82"/>
      <c r="N12" s="1"/>
      <c r="O12" s="1"/>
      <c r="Q12" s="1"/>
      <c r="R12" s="1"/>
      <c r="S12" s="1"/>
      <c r="T12" s="1"/>
      <c r="U12" s="1"/>
    </row>
    <row r="13" spans="1:21" customFormat="1" ht="26" x14ac:dyDescent="0.35">
      <c r="C13" s="14" t="s">
        <v>101</v>
      </c>
      <c r="D13" s="14" t="s">
        <v>7</v>
      </c>
      <c r="E13" s="83"/>
      <c r="F13" s="1"/>
      <c r="G13" s="1"/>
      <c r="I13" s="1"/>
      <c r="J13" s="1"/>
      <c r="K13" s="14" t="s">
        <v>101</v>
      </c>
      <c r="L13" s="14" t="s">
        <v>17</v>
      </c>
      <c r="M13" s="83"/>
      <c r="N13" s="1"/>
      <c r="O13" s="1"/>
      <c r="Q13" s="1"/>
      <c r="R13" s="1"/>
      <c r="S13" s="1"/>
      <c r="T13" s="1"/>
      <c r="U13" s="1"/>
    </row>
    <row r="14" spans="1:21" customFormat="1" x14ac:dyDescent="0.35">
      <c r="C14" s="17" t="str">
        <f>A20</f>
        <v>1.- ATR</v>
      </c>
      <c r="D14" s="2">
        <f>G37</f>
        <v>8474.3262361111138</v>
      </c>
      <c r="E14" s="61"/>
      <c r="F14" s="1"/>
      <c r="G14" s="1"/>
      <c r="I14" s="1"/>
      <c r="J14" s="1"/>
      <c r="K14" s="17" t="str">
        <f>I20</f>
        <v>1.- ATR</v>
      </c>
      <c r="L14" s="2">
        <f>O37</f>
        <v>0</v>
      </c>
      <c r="M14" s="84"/>
      <c r="N14" s="1"/>
      <c r="O14" s="1"/>
      <c r="Q14" s="1"/>
      <c r="R14" s="1"/>
      <c r="S14" s="1"/>
      <c r="T14" s="1"/>
      <c r="U14" s="1"/>
    </row>
    <row r="15" spans="1:21" customFormat="1" x14ac:dyDescent="0.35">
      <c r="C15" s="17" t="str">
        <f>A39</f>
        <v>2.- PERÍMETRO</v>
      </c>
      <c r="D15" s="3">
        <f>G63</f>
        <v>69101.225708333353</v>
      </c>
      <c r="E15" s="62"/>
      <c r="F15" s="1"/>
      <c r="G15" s="1"/>
      <c r="I15" s="1"/>
      <c r="J15" s="1"/>
      <c r="K15" s="17" t="str">
        <f>I39</f>
        <v>2.- PERÍMETRO</v>
      </c>
      <c r="L15" s="3">
        <f>O63</f>
        <v>0</v>
      </c>
      <c r="M15" s="62"/>
      <c r="N15" s="1"/>
      <c r="O15" s="1"/>
      <c r="Q15" s="1"/>
      <c r="R15" s="1"/>
      <c r="S15" s="1"/>
      <c r="T15" s="1"/>
      <c r="U15" s="1"/>
    </row>
    <row r="16" spans="1:21" customFormat="1" x14ac:dyDescent="0.35">
      <c r="C16" s="17" t="str">
        <f>A65</f>
        <v>3.- CAMBIO A IP</v>
      </c>
      <c r="D16" s="3">
        <f>G73</f>
        <v>15901.654999999999</v>
      </c>
      <c r="E16" s="62"/>
      <c r="F16" s="1"/>
      <c r="G16" s="1"/>
      <c r="I16" s="1"/>
      <c r="J16" s="1"/>
      <c r="K16" s="17" t="str">
        <f>I65</f>
        <v>3.- CAMBIO A IP</v>
      </c>
      <c r="L16" s="3">
        <f>O73</f>
        <v>0</v>
      </c>
      <c r="M16" s="62"/>
      <c r="N16" s="1"/>
      <c r="O16" s="1"/>
      <c r="Q16" s="1"/>
      <c r="R16" s="1"/>
      <c r="S16" s="1"/>
      <c r="T16" s="1"/>
      <c r="U16" s="1"/>
    </row>
    <row r="17" spans="1:21" customFormat="1" x14ac:dyDescent="0.35">
      <c r="C17" s="17" t="str">
        <f>A75</f>
        <v>4.- ACTUALIZACIÓN GRABADORES</v>
      </c>
      <c r="D17" s="3">
        <f>G80</f>
        <v>1239.9625000000001</v>
      </c>
      <c r="E17" s="62"/>
      <c r="F17" s="1"/>
      <c r="G17" s="1"/>
      <c r="I17" s="1"/>
      <c r="J17" s="1"/>
      <c r="K17" s="17" t="str">
        <f>I75</f>
        <v>4.- ACTUALIZACIÓN GRABADORES</v>
      </c>
      <c r="L17" s="3">
        <f>O80</f>
        <v>0</v>
      </c>
      <c r="M17" s="62"/>
      <c r="N17" s="1"/>
      <c r="O17" s="1"/>
      <c r="Q17" s="1"/>
      <c r="R17" s="1"/>
      <c r="S17" s="1"/>
      <c r="T17" s="1"/>
      <c r="U17" s="1"/>
    </row>
    <row r="18" spans="1:21" customFormat="1" ht="15.5" x14ac:dyDescent="0.35">
      <c r="C18" s="18" t="s">
        <v>8</v>
      </c>
      <c r="D18" s="21">
        <f>+SUM(D14:D17)</f>
        <v>94717.169444444458</v>
      </c>
      <c r="E18" s="63"/>
      <c r="F18" s="1"/>
      <c r="G18" s="1"/>
      <c r="I18" s="1"/>
      <c r="J18" s="1"/>
      <c r="K18" s="18" t="s">
        <v>8</v>
      </c>
      <c r="L18" s="21">
        <f>+SUM(L14:L17)</f>
        <v>0</v>
      </c>
      <c r="M18" s="63"/>
      <c r="N18" s="1"/>
      <c r="O18" s="1"/>
      <c r="Q18" s="1"/>
      <c r="R18" s="1"/>
      <c r="S18" s="1"/>
      <c r="T18" s="1"/>
      <c r="U18" s="1"/>
    </row>
    <row r="20" spans="1:21" x14ac:dyDescent="0.35">
      <c r="A20" s="198" t="s">
        <v>69</v>
      </c>
      <c r="B20" s="199"/>
      <c r="C20" s="200"/>
      <c r="D20" s="4"/>
      <c r="E20" s="4"/>
      <c r="F20" s="4"/>
      <c r="G20" s="5"/>
      <c r="I20" s="198" t="s">
        <v>69</v>
      </c>
      <c r="J20" s="199"/>
      <c r="K20" s="200"/>
      <c r="L20" s="87"/>
      <c r="M20" s="87"/>
      <c r="N20" s="4"/>
      <c r="O20" s="4"/>
    </row>
    <row r="21" spans="1:21" x14ac:dyDescent="0.35">
      <c r="A21" s="197" t="s">
        <v>0</v>
      </c>
      <c r="B21" s="197"/>
      <c r="C21" s="12" t="s">
        <v>1</v>
      </c>
      <c r="D21" s="12" t="s">
        <v>14</v>
      </c>
      <c r="E21" s="12" t="s">
        <v>256</v>
      </c>
      <c r="F21" s="12" t="s">
        <v>2</v>
      </c>
      <c r="G21" s="13" t="s">
        <v>7</v>
      </c>
      <c r="I21" s="197" t="s">
        <v>0</v>
      </c>
      <c r="J21" s="197"/>
      <c r="K21" s="12" t="s">
        <v>13</v>
      </c>
      <c r="L21" s="12" t="s">
        <v>14</v>
      </c>
      <c r="M21" s="12" t="s">
        <v>256</v>
      </c>
      <c r="N21" s="12" t="s">
        <v>2</v>
      </c>
      <c r="O21" s="13" t="s">
        <v>7</v>
      </c>
    </row>
    <row r="22" spans="1:21" ht="25" x14ac:dyDescent="0.35">
      <c r="A22" s="71">
        <v>2</v>
      </c>
      <c r="B22" s="72" t="s">
        <v>3</v>
      </c>
      <c r="C22" s="73" t="s">
        <v>29</v>
      </c>
      <c r="D22" s="72" t="str">
        <f>IF(C22&lt;&gt;"",VLOOKUP(C22,Preciario!$A$2:$D$66,2,FALSE),"")</f>
        <v>BACULO</v>
      </c>
      <c r="E22" s="73" t="str">
        <f>IF(C22&lt;&gt;"",VLOOKUP(C22,Preciario!$A$2:$D$66,3,FALSE),"")</f>
        <v xml:space="preserve">Báculo de 4 metros de altura para la colocación de una cámara de videovigilancia. Incluye el soporte de suelo. </v>
      </c>
      <c r="F22" s="24">
        <f>IF(C22&lt;&gt;"",VLOOKUP(C22,Preciario!$A$2:$D$66,4,FALSE),"")</f>
        <v>330</v>
      </c>
      <c r="G22" s="24">
        <f t="shared" ref="G22:G36" si="0">A22*F22</f>
        <v>660</v>
      </c>
      <c r="I22" s="16"/>
      <c r="J22" s="72" t="s">
        <v>3</v>
      </c>
      <c r="K22" s="15"/>
      <c r="L22" s="15"/>
      <c r="M22" s="15"/>
      <c r="N22" s="15"/>
      <c r="O22" s="7">
        <f t="shared" ref="O22:O36" si="1">+N22*I22</f>
        <v>0</v>
      </c>
    </row>
    <row r="23" spans="1:21" ht="125" x14ac:dyDescent="0.35">
      <c r="A23" s="71">
        <v>2</v>
      </c>
      <c r="B23" s="72" t="s">
        <v>3</v>
      </c>
      <c r="C23" s="73" t="s">
        <v>72</v>
      </c>
      <c r="D23" s="72" t="str">
        <f>IF(C23&lt;&gt;"",VLOOKUP(C23,Preciario!$A$2:$D$66,2,FALSE),"")</f>
        <v>P3265LVE</v>
      </c>
      <c r="E23" s="73" t="str">
        <f>IF(C23&lt;&gt;"",VLOOKUP(C23,Preciario!$A$2:$D$66,3,FALSE),"")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23" s="24">
        <f>IF(C23&lt;&gt;"",VLOOKUP(C23,Preciario!$A$2:$D$66,4,FALSE),"")</f>
        <v>749</v>
      </c>
      <c r="G23" s="24">
        <f t="shared" si="0"/>
        <v>1498</v>
      </c>
      <c r="I23" s="16"/>
      <c r="J23" s="72" t="s">
        <v>3</v>
      </c>
      <c r="K23" s="15"/>
      <c r="L23" s="15"/>
      <c r="M23" s="15"/>
      <c r="N23" s="15"/>
      <c r="O23" s="7">
        <f t="shared" si="1"/>
        <v>0</v>
      </c>
    </row>
    <row r="24" spans="1:21" ht="62.5" x14ac:dyDescent="0.35">
      <c r="A24" s="71">
        <v>2</v>
      </c>
      <c r="B24" s="72" t="s">
        <v>3</v>
      </c>
      <c r="C24" s="73" t="s">
        <v>266</v>
      </c>
      <c r="D24" s="72" t="str">
        <f>IF(C24&lt;&gt;"",VLOOKUP(C24,Preciario!$A$2:$D$66,2,FALSE),"")</f>
        <v>T91B47</v>
      </c>
      <c r="E24" s="73" t="str">
        <f>IF(C24&lt;&gt;"",VLOOKUP(C24,Preciario!$A$2:$D$66,3,FALSE),"")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24" s="24">
        <f>IF(C24&lt;&gt;"",VLOOKUP(C24,Preciario!$A$2:$D$66,4,FALSE),"")</f>
        <v>89</v>
      </c>
      <c r="G24" s="24">
        <f t="shared" si="0"/>
        <v>178</v>
      </c>
      <c r="I24" s="16"/>
      <c r="J24" s="72" t="s">
        <v>3</v>
      </c>
      <c r="K24" s="15"/>
      <c r="L24" s="15"/>
      <c r="M24" s="15"/>
      <c r="N24" s="15"/>
      <c r="O24" s="7">
        <f t="shared" ref="O24" si="2">+N24*I24</f>
        <v>0</v>
      </c>
    </row>
    <row r="25" spans="1:21" x14ac:dyDescent="0.35">
      <c r="A25" s="71">
        <v>2</v>
      </c>
      <c r="B25" s="72" t="s">
        <v>3</v>
      </c>
      <c r="C25" s="73" t="s">
        <v>31</v>
      </c>
      <c r="D25" s="72" t="str">
        <f>IF(C25&lt;&gt;"",VLOOKUP(C25,Preciario!$A$2:$D$66,2,FALSE),"")</f>
        <v>LIC_CAM</v>
      </c>
      <c r="E25" s="73" t="str">
        <f>IF(C25&lt;&gt;"",VLOOKUP(C25,Preciario!$A$2:$D$66,3,FALSE),"")</f>
        <v xml:space="preserve">Licenciamiento de cámara en servidor </v>
      </c>
      <c r="F25" s="24">
        <f>IF(C25&lt;&gt;"",VLOOKUP(C25,Preciario!$A$2:$D$66,4,FALSE),"")</f>
        <v>159.05000000000001</v>
      </c>
      <c r="G25" s="24">
        <f t="shared" si="0"/>
        <v>318.10000000000002</v>
      </c>
      <c r="I25" s="16"/>
      <c r="J25" s="72" t="s">
        <v>3</v>
      </c>
      <c r="K25" s="15"/>
      <c r="L25" s="15"/>
      <c r="M25" s="15"/>
      <c r="N25" s="15"/>
      <c r="O25" s="7">
        <f t="shared" si="1"/>
        <v>0</v>
      </c>
    </row>
    <row r="26" spans="1:21" ht="37.5" x14ac:dyDescent="0.35">
      <c r="A26" s="71">
        <v>1</v>
      </c>
      <c r="B26" s="72" t="s">
        <v>3</v>
      </c>
      <c r="C26" s="73" t="s">
        <v>175</v>
      </c>
      <c r="D26" s="72" t="str">
        <f>IF(C26&lt;&gt;"",VLOOKUP(C26,Preciario!$A$2:$D$66,2,FALSE),"")</f>
        <v>AX_T8154</v>
      </c>
      <c r="E26" s="73" t="str">
        <f>IF(C26&lt;&gt;"",VLOOKUP(C26,Preciario!$A$2:$D$66,3,FALSE),"")</f>
        <v>Midspan SFP AXIS T8154 convertidor de medios, Plug and Play y con PoE. Fuente de alimentación integrada. Entrada de datos a través de SFP o RJ45. High PoE de 60 W.</v>
      </c>
      <c r="F26" s="24">
        <f>IF(C26&lt;&gt;"",VLOOKUP(C26,Preciario!$A$2:$D$66,4,FALSE),"")</f>
        <v>209</v>
      </c>
      <c r="G26" s="24">
        <f t="shared" si="0"/>
        <v>209</v>
      </c>
      <c r="I26" s="16"/>
      <c r="J26" s="72" t="s">
        <v>3</v>
      </c>
      <c r="K26" s="15"/>
      <c r="L26" s="15"/>
      <c r="M26" s="15"/>
      <c r="N26" s="15"/>
      <c r="O26" s="7">
        <f t="shared" si="1"/>
        <v>0</v>
      </c>
    </row>
    <row r="27" spans="1:21" ht="25" x14ac:dyDescent="0.35">
      <c r="A27" s="71">
        <v>2</v>
      </c>
      <c r="B27" s="72" t="s">
        <v>3</v>
      </c>
      <c r="C27" s="73" t="s">
        <v>242</v>
      </c>
      <c r="D27" s="72" t="str">
        <f>IF(C27&lt;&gt;"",VLOOKUP(C27,Preciario!$A$2:$D$66,2,FALSE),"")</f>
        <v>MTB-TSR</v>
      </c>
      <c r="E27" s="73" t="str">
        <f>IF(C27&lt;&gt;"",VLOOKUP(C27,Preciario!$A$2:$D$66,3,FALSE),"")</f>
        <v>Módulo de fibra óptica 10GBASE-SR SFP+ de 1 puerto - 300 m (-40~75 grados C)</v>
      </c>
      <c r="F27" s="24">
        <f>IF(C27&lt;&gt;"",VLOOKUP(C27,Preciario!$A$2:$D$66,4,FALSE),"")</f>
        <v>105</v>
      </c>
      <c r="G27" s="24">
        <f t="shared" si="0"/>
        <v>210</v>
      </c>
      <c r="I27" s="16"/>
      <c r="J27" s="72" t="s">
        <v>3</v>
      </c>
      <c r="K27" s="15"/>
      <c r="L27" s="15"/>
      <c r="M27" s="15"/>
      <c r="N27" s="15"/>
      <c r="O27" s="7">
        <f t="shared" ref="O27" si="3">+N27*I27</f>
        <v>0</v>
      </c>
    </row>
    <row r="28" spans="1:21" ht="150" x14ac:dyDescent="0.35">
      <c r="A28" s="71">
        <v>1</v>
      </c>
      <c r="B28" s="72" t="s">
        <v>3</v>
      </c>
      <c r="C28" s="73" t="s">
        <v>42</v>
      </c>
      <c r="D28" s="72" t="str">
        <f>IF(C28&lt;&gt;"",VLOOKUP(C28,Preciario!$A$2:$D$66,2,FALSE),"")</f>
        <v>AM60x40</v>
      </c>
      <c r="E28" s="73" t="str">
        <f>IF(C28&lt;&gt;"",VLOOKUP(C28,Preciario!$A$2:$D$66,3,FALSE),"")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28" s="24">
        <f>IF(C28&lt;&gt;"",VLOOKUP(C28,Preciario!$A$2:$D$66,4,FALSE),"")</f>
        <v>862.465236111114</v>
      </c>
      <c r="G28" s="24">
        <f t="shared" si="0"/>
        <v>862.465236111114</v>
      </c>
      <c r="I28" s="16"/>
      <c r="J28" s="72" t="s">
        <v>3</v>
      </c>
      <c r="K28" s="15"/>
      <c r="L28" s="15"/>
      <c r="M28" s="15"/>
      <c r="N28" s="15"/>
      <c r="O28" s="7">
        <f t="shared" si="1"/>
        <v>0</v>
      </c>
    </row>
    <row r="29" spans="1:21" ht="37.5" x14ac:dyDescent="0.35">
      <c r="A29" s="71">
        <v>1</v>
      </c>
      <c r="B29" s="72" t="s">
        <v>3</v>
      </c>
      <c r="C29" s="73" t="s">
        <v>247</v>
      </c>
      <c r="D29" s="72" t="str">
        <f>IF(C29&lt;&gt;"",VLOOKUP(C29,Preciario!$A$2:$D$66,2,FALSE),"")</f>
        <v>Caja FO IP67</v>
      </c>
      <c r="E29" s="73" t="str">
        <f>IF(C29&lt;&gt;"",VLOOKUP(C29,Preciario!$A$2:$D$66,3,FALSE),"")</f>
        <v>Caja de distribución de fibra óptica caja de distribución de 1 a 16 puertos, capacidad para 24 empalmes en bandejas, impermeable, para exteriores, IP67</v>
      </c>
      <c r="F29" s="24">
        <f>IF(C29&lt;&gt;"",VLOOKUP(C29,Preciario!$A$2:$D$66,4,FALSE),"")</f>
        <v>52</v>
      </c>
      <c r="G29" s="24">
        <f t="shared" si="0"/>
        <v>52</v>
      </c>
      <c r="I29" s="16"/>
      <c r="J29" s="72" t="s">
        <v>3</v>
      </c>
      <c r="K29" s="15"/>
      <c r="L29" s="15"/>
      <c r="M29" s="15"/>
      <c r="N29" s="15"/>
      <c r="O29" s="7"/>
    </row>
    <row r="30" spans="1:21" ht="25" x14ac:dyDescent="0.35">
      <c r="A30" s="71">
        <v>180</v>
      </c>
      <c r="B30" s="72" t="s">
        <v>10</v>
      </c>
      <c r="C30" s="73" t="s">
        <v>275</v>
      </c>
      <c r="D30" s="72" t="str">
        <f>IF(C30&lt;&gt;"",VLOOKUP(C30,Preciario!$A$2:$D$66,2,FALSE),"")</f>
        <v>C_ELE_3X2,5</v>
      </c>
      <c r="E30" s="73" t="str">
        <f>IF(C30&lt;&gt;"",VLOOKUP(C30,Preciario!$A$2:$D$66,3,FALSE),"")</f>
        <v>Suministro e instalación de manguera exterior RZ1-K 3x2,5mm</v>
      </c>
      <c r="F30" s="24">
        <f>IF(C30&lt;&gt;"",VLOOKUP(C30,Preciario!$A$2:$D$66,4,FALSE),"")</f>
        <v>4</v>
      </c>
      <c r="G30" s="24">
        <f t="shared" si="0"/>
        <v>720</v>
      </c>
      <c r="I30" s="16"/>
      <c r="J30" s="72" t="s">
        <v>10</v>
      </c>
      <c r="K30" s="15"/>
      <c r="L30" s="15"/>
      <c r="M30" s="15"/>
      <c r="N30" s="15"/>
      <c r="O30" s="7">
        <f t="shared" si="1"/>
        <v>0</v>
      </c>
    </row>
    <row r="31" spans="1:21" ht="62.5" x14ac:dyDescent="0.35">
      <c r="A31" s="71">
        <v>100</v>
      </c>
      <c r="B31" s="72" t="s">
        <v>10</v>
      </c>
      <c r="C31" s="73" t="s">
        <v>277</v>
      </c>
      <c r="D31" s="72" t="str">
        <f>IF(C31&lt;&gt;"",VLOOKUP(C31,Preciario!$A$2:$D$66,2,FALSE),"")</f>
        <v>FTP_CAT6A/CAT7</v>
      </c>
      <c r="E31" s="73" t="str">
        <f>IF(C31&lt;&gt;"",VLOOKUP(C31,Preciario!$A$2:$D$66,3,FALSE),"")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31" s="24">
        <f>IF(C31&lt;&gt;"",VLOOKUP(C31,Preciario!$A$2:$D$66,4,FALSE),"")</f>
        <v>4.8</v>
      </c>
      <c r="G31" s="24">
        <f t="shared" si="0"/>
        <v>480</v>
      </c>
      <c r="I31" s="16"/>
      <c r="J31" s="72" t="s">
        <v>10</v>
      </c>
      <c r="K31" s="15"/>
      <c r="L31" s="15"/>
      <c r="M31" s="15"/>
      <c r="N31" s="15"/>
      <c r="O31" s="7">
        <f t="shared" si="1"/>
        <v>0</v>
      </c>
    </row>
    <row r="32" spans="1:21" ht="75" x14ac:dyDescent="0.35">
      <c r="A32" s="71">
        <v>2</v>
      </c>
      <c r="B32" s="72" t="s">
        <v>3</v>
      </c>
      <c r="C32" s="73" t="s">
        <v>234</v>
      </c>
      <c r="D32" s="72" t="str">
        <f>IF(C32&lt;&gt;"",VLOOKUP(C32,Preciario!$A$2:$D$66,2,FALSE),"")</f>
        <v>ZPT606060</v>
      </c>
      <c r="E32" s="73" t="str">
        <f>IF(C32&lt;&gt;"",VLOOKUP(C32,Preciario!$A$2:$D$66,3,FALSE),"")</f>
        <v>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v>
      </c>
      <c r="F32" s="24">
        <f>IF(C32&lt;&gt;"",VLOOKUP(C32,Preciario!$A$2:$D$66,4,FALSE),"")</f>
        <v>226.5</v>
      </c>
      <c r="G32" s="24">
        <f t="shared" si="0"/>
        <v>453</v>
      </c>
      <c r="I32" s="16"/>
      <c r="J32" s="72" t="s">
        <v>3</v>
      </c>
      <c r="K32" s="15"/>
      <c r="L32" s="15"/>
      <c r="M32" s="15"/>
      <c r="N32" s="15"/>
      <c r="O32" s="7">
        <f t="shared" si="1"/>
        <v>0</v>
      </c>
    </row>
    <row r="33" spans="1:15" ht="75" x14ac:dyDescent="0.35">
      <c r="A33" s="71">
        <v>17</v>
      </c>
      <c r="B33" s="72" t="s">
        <v>10</v>
      </c>
      <c r="C33" s="73" t="s">
        <v>228</v>
      </c>
      <c r="D33" s="72" t="str">
        <f>IF(C33&lt;&gt;"",VLOOKUP(C33,Preciario!$A$2:$D$66,2,FALSE),"")</f>
        <v>Zanja</v>
      </c>
      <c r="E33" s="73" t="str">
        <f>IF(C33&lt;&gt;"",VLOOKUP(C33,Preciario!$A$2:$D$66,3,FALSE),"")</f>
        <v>Construcción de zanja, incluyendo la excavación, la carga y el transporte de las tierras a vertedero autorizado, el suministro y colocación de 4 tubos de PVC corrugado, para instalaciones, relleno de la misma con material recuperado, y acabado superficial con hormigón en masa o asfalto; i/ p.p.medios auxiliares.</v>
      </c>
      <c r="F33" s="24">
        <f>IF(C33&lt;&gt;"",VLOOKUP(C33,Preciario!$A$2:$D$66,4,FALSE),"")</f>
        <v>78.930000000000007</v>
      </c>
      <c r="G33" s="24">
        <f t="shared" si="0"/>
        <v>1341.8100000000002</v>
      </c>
      <c r="I33" s="16"/>
      <c r="J33" s="72" t="s">
        <v>10</v>
      </c>
      <c r="K33" s="15"/>
      <c r="L33" s="15"/>
      <c r="M33" s="15"/>
      <c r="N33" s="15"/>
      <c r="O33" s="7">
        <f t="shared" si="1"/>
        <v>0</v>
      </c>
    </row>
    <row r="34" spans="1:15" ht="37.5" x14ac:dyDescent="0.35">
      <c r="A34" s="71">
        <v>2</v>
      </c>
      <c r="B34" s="72" t="s">
        <v>3</v>
      </c>
      <c r="C34" s="73" t="s">
        <v>233</v>
      </c>
      <c r="D34" s="158" t="str">
        <f>IF(C34&lt;&gt;"",VLOOKUP(C34,Preciario!$A$2:$D$66,2,FALSE),"")</f>
        <v>Arqueta</v>
      </c>
      <c r="E34" s="73" t="str">
        <f>IF(C34&lt;&gt;"",VLOOKUP(C34,Preciario!$A$2:$D$66,3,FALSE),"")</f>
        <v>Arqueta de registro construida a base de ladrillo macizo de 1/2 pie de espesor, enfoscada y bruñida interiormente, con tapa metálica con cerco y tirador.</v>
      </c>
      <c r="F34" s="24">
        <f>IF(C34&lt;&gt;"",VLOOKUP(C34,Preciario!$A$2:$D$66,4,FALSE),"")</f>
        <v>325.8</v>
      </c>
      <c r="G34" s="24">
        <f t="shared" si="0"/>
        <v>651.6</v>
      </c>
      <c r="I34" s="16"/>
      <c r="J34" s="72" t="s">
        <v>3</v>
      </c>
      <c r="K34" s="15"/>
      <c r="L34" s="15"/>
      <c r="M34" s="15"/>
      <c r="N34" s="15"/>
      <c r="O34" s="7">
        <f t="shared" ref="O34" si="4">+N34*I34</f>
        <v>0</v>
      </c>
    </row>
    <row r="35" spans="1:15" ht="25" x14ac:dyDescent="0.35">
      <c r="A35" s="71">
        <v>1</v>
      </c>
      <c r="B35" s="72" t="s">
        <v>11</v>
      </c>
      <c r="C35" s="73" t="s">
        <v>163</v>
      </c>
      <c r="D35" s="72" t="s">
        <v>164</v>
      </c>
      <c r="E35" s="73" t="str">
        <f>IF(C35&lt;&gt;"",VLOOKUP(C35,Preciario!$A$2:$D$66,3,FALSE),"")</f>
        <v>Partida ayudas auxiliares en equipamiento y mano de obra en sistemas de energía</v>
      </c>
      <c r="F35" s="24">
        <v>420.17550000000006</v>
      </c>
      <c r="G35" s="24">
        <f t="shared" si="0"/>
        <v>420.17550000000006</v>
      </c>
      <c r="I35" s="16"/>
      <c r="J35" s="72" t="s">
        <v>11</v>
      </c>
      <c r="K35" s="15"/>
      <c r="L35" s="15"/>
      <c r="M35" s="15"/>
      <c r="N35" s="15"/>
      <c r="O35" s="7">
        <f t="shared" si="1"/>
        <v>0</v>
      </c>
    </row>
    <row r="36" spans="1:15" ht="25" x14ac:dyDescent="0.35">
      <c r="A36" s="71">
        <v>1</v>
      </c>
      <c r="B36" s="72" t="s">
        <v>11</v>
      </c>
      <c r="C36" s="73" t="s">
        <v>185</v>
      </c>
      <c r="D36" s="72" t="s">
        <v>162</v>
      </c>
      <c r="E36" s="73" t="str">
        <f>IF(C36&lt;&gt;"",VLOOKUP(C36,Preciario!$A$2:$D$66,3,FALSE),"")</f>
        <v>Partida ayudas auxiliares en equipamiento y mano de obra en albañilería</v>
      </c>
      <c r="F36" s="24">
        <v>420.17550000000006</v>
      </c>
      <c r="G36" s="24">
        <f t="shared" si="0"/>
        <v>420.17550000000006</v>
      </c>
      <c r="I36" s="16"/>
      <c r="J36" s="72" t="s">
        <v>11</v>
      </c>
      <c r="K36" s="15"/>
      <c r="L36" s="15"/>
      <c r="M36" s="15"/>
      <c r="N36" s="15"/>
      <c r="O36" s="7">
        <f t="shared" si="1"/>
        <v>0</v>
      </c>
    </row>
    <row r="37" spans="1:15" x14ac:dyDescent="0.35">
      <c r="A37" s="8"/>
      <c r="B37" s="8"/>
      <c r="C37" s="9"/>
      <c r="D37" s="9"/>
      <c r="E37" s="9"/>
      <c r="F37" s="19" t="s">
        <v>4</v>
      </c>
      <c r="G37" s="20">
        <f>SUM(G22:G36)</f>
        <v>8474.3262361111138</v>
      </c>
      <c r="I37" s="8"/>
      <c r="J37" s="8"/>
      <c r="K37" s="9"/>
      <c r="L37" s="9"/>
      <c r="M37" s="9"/>
      <c r="N37" s="19" t="s">
        <v>4</v>
      </c>
      <c r="O37" s="20">
        <f>SUM(O22:O36)</f>
        <v>0</v>
      </c>
    </row>
    <row r="38" spans="1:15" x14ac:dyDescent="0.35">
      <c r="A38" s="10"/>
      <c r="B38" s="10"/>
      <c r="C38" s="11"/>
      <c r="D38" s="11"/>
      <c r="E38" s="11"/>
      <c r="F38" s="11"/>
      <c r="G38" s="11"/>
      <c r="I38" s="10"/>
      <c r="J38" s="10"/>
      <c r="K38" s="11"/>
      <c r="L38" s="11"/>
      <c r="M38" s="11"/>
      <c r="N38" s="11"/>
      <c r="O38" s="11"/>
    </row>
    <row r="39" spans="1:15" ht="14.4" customHeight="1" x14ac:dyDescent="0.35">
      <c r="A39" s="198" t="s">
        <v>70</v>
      </c>
      <c r="B39" s="199"/>
      <c r="C39" s="200"/>
      <c r="D39" s="4"/>
      <c r="E39" s="4"/>
      <c r="F39" s="4"/>
      <c r="G39" s="5"/>
      <c r="I39" s="198" t="s">
        <v>70</v>
      </c>
      <c r="J39" s="199"/>
      <c r="K39" s="200"/>
      <c r="L39" s="87"/>
      <c r="M39" s="87"/>
      <c r="N39" s="4"/>
      <c r="O39" s="4"/>
    </row>
    <row r="40" spans="1:15" x14ac:dyDescent="0.35">
      <c r="A40" s="197" t="s">
        <v>0</v>
      </c>
      <c r="B40" s="197"/>
      <c r="C40" s="12" t="s">
        <v>13</v>
      </c>
      <c r="D40" s="12" t="s">
        <v>14</v>
      </c>
      <c r="E40" s="12" t="s">
        <v>256</v>
      </c>
      <c r="F40" s="12" t="s">
        <v>2</v>
      </c>
      <c r="G40" s="13" t="s">
        <v>7</v>
      </c>
      <c r="I40" s="197" t="s">
        <v>0</v>
      </c>
      <c r="J40" s="197"/>
      <c r="K40" s="12" t="s">
        <v>13</v>
      </c>
      <c r="L40" s="12" t="s">
        <v>14</v>
      </c>
      <c r="M40" s="12" t="s">
        <v>256</v>
      </c>
      <c r="N40" s="12" t="s">
        <v>2</v>
      </c>
      <c r="O40" s="13" t="s">
        <v>7</v>
      </c>
    </row>
    <row r="41" spans="1:15" ht="25" x14ac:dyDescent="0.35">
      <c r="A41" s="71">
        <v>6</v>
      </c>
      <c r="B41" s="72" t="s">
        <v>3</v>
      </c>
      <c r="C41" s="73" t="s">
        <v>29</v>
      </c>
      <c r="D41" s="72" t="str">
        <f>IF(C41&lt;&gt;"",VLOOKUP(C41,Preciario!$A$2:$D$66,2,FALSE),"")</f>
        <v>BACULO</v>
      </c>
      <c r="E41" s="73" t="str">
        <f>IF(C41&lt;&gt;"",VLOOKUP(C41,Preciario!$A$2:$D$66,3,FALSE),"")</f>
        <v xml:space="preserve">Báculo de 4 metros de altura para la colocación de una cámara de videovigilancia. Incluye el soporte de suelo. </v>
      </c>
      <c r="F41" s="24">
        <f>IF(C41&lt;&gt;"",VLOOKUP(C41,Preciario!$A$2:$D$66,4,FALSE),"")</f>
        <v>330</v>
      </c>
      <c r="G41" s="24">
        <f t="shared" ref="G41:G62" si="5">A41*F41</f>
        <v>1980</v>
      </c>
      <c r="I41" s="16"/>
      <c r="J41" s="72" t="s">
        <v>3</v>
      </c>
      <c r="K41" s="15"/>
      <c r="L41" s="15"/>
      <c r="M41" s="15"/>
      <c r="N41" s="15"/>
      <c r="O41" s="7">
        <f t="shared" ref="O41:O62" si="6">+N41*I41</f>
        <v>0</v>
      </c>
    </row>
    <row r="42" spans="1:15" ht="125" x14ac:dyDescent="0.35">
      <c r="A42" s="71">
        <v>5</v>
      </c>
      <c r="B42" s="72" t="s">
        <v>3</v>
      </c>
      <c r="C42" s="73" t="s">
        <v>72</v>
      </c>
      <c r="D42" s="72" t="str">
        <f>IF(C42&lt;&gt;"",VLOOKUP(C42,Preciario!$A$2:$D$66,2,FALSE),"")</f>
        <v>P3265LVE</v>
      </c>
      <c r="E42" s="73" t="str">
        <f>IF(C42&lt;&gt;"",VLOOKUP(C42,Preciario!$A$2:$D$66,3,FALSE),"")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42" s="24">
        <f>IF(C42&lt;&gt;"",VLOOKUP(C42,Preciario!$A$2:$D$66,4,FALSE),"")</f>
        <v>749</v>
      </c>
      <c r="G42" s="24">
        <f t="shared" si="5"/>
        <v>3745</v>
      </c>
      <c r="I42" s="16"/>
      <c r="J42" s="72" t="s">
        <v>3</v>
      </c>
      <c r="K42" s="15"/>
      <c r="L42" s="15"/>
      <c r="M42" s="15"/>
      <c r="N42" s="15"/>
      <c r="O42" s="7">
        <f t="shared" si="6"/>
        <v>0</v>
      </c>
    </row>
    <row r="43" spans="1:15" ht="50" x14ac:dyDescent="0.35">
      <c r="A43" s="71">
        <v>8</v>
      </c>
      <c r="B43" s="72" t="s">
        <v>3</v>
      </c>
      <c r="C43" s="73" t="s">
        <v>73</v>
      </c>
      <c r="D43" s="72" t="str">
        <f>IF(C43&lt;&gt;"",VLOOKUP(C43,Preciario!$A$2:$D$66,2,FALSE),"")</f>
        <v>Q1951-E</v>
      </c>
      <c r="E43" s="73" t="str">
        <f>IF(C43&lt;&gt;"",VLOOKUP(C43,Preciario!$A$2:$D$66,3,FALSE),"")</f>
        <v>Suministro y montaje de cámara IP térmica de alta sensibilidad para uso exterior con sensor de 384x288, la imagen puede ampliarse hasta 768x576, soporte y adaptador para montaje en báculo.</v>
      </c>
      <c r="F43" s="24">
        <f>IF(C43&lt;&gt;"",VLOOKUP(C43,Preciario!$A$2:$D$66,4,FALSE),"")</f>
        <v>2999</v>
      </c>
      <c r="G43" s="24">
        <f t="shared" si="5"/>
        <v>23992</v>
      </c>
      <c r="I43" s="16"/>
      <c r="J43" s="72" t="s">
        <v>3</v>
      </c>
      <c r="K43" s="15"/>
      <c r="L43" s="15"/>
      <c r="M43" s="15"/>
      <c r="N43" s="15"/>
      <c r="O43" s="7">
        <f t="shared" si="6"/>
        <v>0</v>
      </c>
    </row>
    <row r="44" spans="1:15" ht="62.5" x14ac:dyDescent="0.35">
      <c r="A44" s="71">
        <v>13</v>
      </c>
      <c r="B44" s="72" t="s">
        <v>3</v>
      </c>
      <c r="C44" s="73" t="s">
        <v>266</v>
      </c>
      <c r="D44" s="72" t="str">
        <f>IF(C44&lt;&gt;"",VLOOKUP(C44,Preciario!$A$2:$D$66,2,FALSE),"")</f>
        <v>T91B47</v>
      </c>
      <c r="E44" s="73" t="str">
        <f>IF(C44&lt;&gt;"",VLOOKUP(C44,Preciario!$A$2:$D$66,3,FALSE),"")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44" s="24">
        <f>IF(C44&lt;&gt;"",VLOOKUP(C44,Preciario!$A$2:$D$66,4,FALSE),"")</f>
        <v>89</v>
      </c>
      <c r="G44" s="24">
        <f t="shared" si="5"/>
        <v>1157</v>
      </c>
      <c r="I44" s="16"/>
      <c r="J44" s="72" t="s">
        <v>3</v>
      </c>
      <c r="K44" s="15"/>
      <c r="L44" s="15"/>
      <c r="M44" s="15"/>
      <c r="N44" s="15"/>
      <c r="O44" s="7">
        <f t="shared" ref="O44" si="7">+N44*I44</f>
        <v>0</v>
      </c>
    </row>
    <row r="45" spans="1:15" x14ac:dyDescent="0.35">
      <c r="A45" s="71">
        <v>13</v>
      </c>
      <c r="B45" s="72" t="s">
        <v>3</v>
      </c>
      <c r="C45" s="73" t="s">
        <v>31</v>
      </c>
      <c r="D45" s="72" t="str">
        <f>IF(C45&lt;&gt;"",VLOOKUP(C45,Preciario!$A$2:$D$66,2,FALSE),"")</f>
        <v>LIC_CAM</v>
      </c>
      <c r="E45" s="73" t="str">
        <f>IF(C45&lt;&gt;"",VLOOKUP(C45,Preciario!$A$2:$D$66,3,FALSE),"")</f>
        <v xml:space="preserve">Licenciamiento de cámara en servidor </v>
      </c>
      <c r="F45" s="24">
        <f>IF(C45&lt;&gt;"",VLOOKUP(C45,Preciario!$A$2:$D$66,4,FALSE),"")</f>
        <v>159.05000000000001</v>
      </c>
      <c r="G45" s="24">
        <f t="shared" si="5"/>
        <v>2067.65</v>
      </c>
      <c r="I45" s="16"/>
      <c r="J45" s="72" t="s">
        <v>3</v>
      </c>
      <c r="K45" s="15"/>
      <c r="L45" s="15"/>
      <c r="M45" s="15"/>
      <c r="N45" s="15"/>
      <c r="O45" s="7">
        <f t="shared" si="6"/>
        <v>0</v>
      </c>
    </row>
    <row r="46" spans="1:15" ht="87.5" x14ac:dyDescent="0.35">
      <c r="A46" s="71">
        <v>9</v>
      </c>
      <c r="B46" s="72" t="s">
        <v>3</v>
      </c>
      <c r="C46" s="73" t="s">
        <v>190</v>
      </c>
      <c r="D46" s="72" t="str">
        <f>IF(C46&lt;&gt;"",VLOOKUP(C46,Preciario!$A$2:$D$66,2,FALSE),"")</f>
        <v>DE.3001</v>
      </c>
      <c r="E46" s="73" t="str">
        <f>IF(C46&lt;&gt;"",VLOOKUP(C46,Preciario!$A$2:$D$66,3,FALSE),"")</f>
        <v xml:space="preserve">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 Incluida instalación y configuración. </v>
      </c>
      <c r="F46" s="24">
        <f>IF(C46&lt;&gt;"",VLOOKUP(C46,Preciario!$A$2:$D$66,4,FALSE),"")</f>
        <v>392</v>
      </c>
      <c r="G46" s="24">
        <f t="shared" si="5"/>
        <v>3528</v>
      </c>
      <c r="I46" s="16"/>
      <c r="J46" s="72" t="s">
        <v>3</v>
      </c>
      <c r="K46" s="15"/>
      <c r="L46" s="15"/>
      <c r="M46" s="15"/>
      <c r="N46" s="15"/>
      <c r="O46" s="7">
        <f t="shared" si="6"/>
        <v>0</v>
      </c>
    </row>
    <row r="47" spans="1:15" ht="50" x14ac:dyDescent="0.35">
      <c r="A47" s="71">
        <v>9</v>
      </c>
      <c r="B47" s="72" t="s">
        <v>3</v>
      </c>
      <c r="C47" s="73" t="s">
        <v>189</v>
      </c>
      <c r="D47" s="72" t="str">
        <f>IF(C47&lt;&gt;"",VLOOKUP(C47,Preciario!$A$2:$D$66,2,FALSE),"")</f>
        <v>ACAP PER_DEF</v>
      </c>
      <c r="E47" s="73" t="str">
        <f>IF(C47&lt;&gt;"",VLOOKUP(C47,Preciario!$A$2:$D$66,3,FALSE),"")</f>
        <v xml:space="preserve">Licencia de unidad única para AXIS Perimeter Defender, una aplicación de análisis de video escalable y flexible para vigilancia y protección perimetral. Incluida instalación y configuración. </v>
      </c>
      <c r="F47" s="24">
        <f>IF(C47&lt;&gt;"",VLOOKUP(C47,Preciario!$A$2:$D$66,4,FALSE),"")</f>
        <v>299</v>
      </c>
      <c r="G47" s="24">
        <f t="shared" si="5"/>
        <v>2691</v>
      </c>
      <c r="I47" s="16"/>
      <c r="J47" s="72" t="s">
        <v>3</v>
      </c>
      <c r="K47" s="15"/>
      <c r="L47" s="15"/>
      <c r="M47" s="15"/>
      <c r="N47" s="15"/>
      <c r="O47" s="7">
        <f t="shared" si="6"/>
        <v>0</v>
      </c>
    </row>
    <row r="48" spans="1:15" ht="112.5" x14ac:dyDescent="0.35">
      <c r="A48" s="71">
        <v>3</v>
      </c>
      <c r="B48" s="72" t="s">
        <v>3</v>
      </c>
      <c r="C48" s="73" t="s">
        <v>236</v>
      </c>
      <c r="D48" s="72" t="str">
        <f>IF(C48&lt;&gt;"",VLOOKUP(C48,Preciario!$A$2:$D$66,2,FALSE),"")</f>
        <v>IGS-5225-8P2S2X</v>
      </c>
      <c r="E48" s="73" t="str">
        <f>IF(C48&lt;&gt;"",VLOOKUP(C48,Preciario!$A$2:$D$66,3,FALSE),"")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48" s="24">
        <f>IF(C48&lt;&gt;"",VLOOKUP(C48,Preciario!$A$2:$D$66,4,FALSE),"")</f>
        <v>957.6</v>
      </c>
      <c r="G48" s="24">
        <f t="shared" si="5"/>
        <v>2872.8</v>
      </c>
      <c r="I48" s="16"/>
      <c r="J48" s="72" t="s">
        <v>3</v>
      </c>
      <c r="K48" s="15"/>
      <c r="L48" s="15"/>
      <c r="M48" s="15"/>
      <c r="N48" s="15"/>
      <c r="O48" s="7">
        <f t="shared" si="6"/>
        <v>0</v>
      </c>
    </row>
    <row r="49" spans="1:15" ht="25" x14ac:dyDescent="0.35">
      <c r="A49" s="71">
        <v>3</v>
      </c>
      <c r="B49" s="72" t="s">
        <v>3</v>
      </c>
      <c r="C49" s="73" t="s">
        <v>238</v>
      </c>
      <c r="D49" s="72" t="str">
        <f>IF(C49&lt;&gt;"",VLOOKUP(C49,Preciario!$A$2:$D$66,2,FALSE),"")</f>
        <v>NDR 480-48</v>
      </c>
      <c r="E49" s="73" t="str">
        <f>IF(C49&lt;&gt;"",VLOOKUP(C49,Preciario!$A$2:$D$66,3,FALSE),"")</f>
        <v>Fuente de alimentación de carril DIN de 48 V, 480 W salida de CC ajustable de 48-56 V (-20 ~ 70 grados C)</v>
      </c>
      <c r="F49" s="24">
        <f>IF(C49&lt;&gt;"",VLOOKUP(C49,Preciario!$A$2:$D$66,4,FALSE),"")</f>
        <v>270</v>
      </c>
      <c r="G49" s="24">
        <f t="shared" si="5"/>
        <v>810</v>
      </c>
      <c r="I49" s="16"/>
      <c r="J49" s="72" t="s">
        <v>3</v>
      </c>
      <c r="K49" s="15"/>
      <c r="L49" s="15"/>
      <c r="M49" s="15"/>
      <c r="N49" s="15"/>
      <c r="O49" s="7">
        <f t="shared" si="6"/>
        <v>0</v>
      </c>
    </row>
    <row r="50" spans="1:15" ht="25" x14ac:dyDescent="0.35">
      <c r="A50" s="71">
        <v>6</v>
      </c>
      <c r="B50" s="72" t="s">
        <v>3</v>
      </c>
      <c r="C50" s="73" t="s">
        <v>243</v>
      </c>
      <c r="D50" s="72" t="str">
        <f>IF(C50&lt;&gt;"",VLOOKUP(C50,Preciario!$A$2:$D$66,2,FALSE),"")</f>
        <v>MTB-TSR2</v>
      </c>
      <c r="E50" s="73" t="str">
        <f>IF(C50&lt;&gt;"",VLOOKUP(C50,Preciario!$A$2:$D$66,3,FALSE),"")</f>
        <v>Módulo de fibra óptica 10GBASE-LR SFP+ de 1 puerto: 2 km (-40~75 grados C)</v>
      </c>
      <c r="F50" s="24">
        <f>IF(C50&lt;&gt;"",VLOOKUP(C50,Preciario!$A$2:$D$66,4,FALSE),"")</f>
        <v>104</v>
      </c>
      <c r="G50" s="24">
        <f t="shared" si="5"/>
        <v>624</v>
      </c>
      <c r="I50" s="16"/>
      <c r="J50" s="72" t="s">
        <v>3</v>
      </c>
      <c r="K50" s="15"/>
      <c r="L50" s="15"/>
      <c r="M50" s="15"/>
      <c r="N50" s="15"/>
      <c r="O50" s="7">
        <f t="shared" si="6"/>
        <v>0</v>
      </c>
    </row>
    <row r="51" spans="1:15" ht="150" x14ac:dyDescent="0.35">
      <c r="A51" s="71">
        <v>3</v>
      </c>
      <c r="B51" s="72" t="s">
        <v>3</v>
      </c>
      <c r="C51" s="73" t="s">
        <v>42</v>
      </c>
      <c r="D51" s="72" t="str">
        <f>IF(C51&lt;&gt;"",VLOOKUP(C51,Preciario!$A$2:$D$66,2,FALSE),"")</f>
        <v>AM60x40</v>
      </c>
      <c r="E51" s="73" t="str">
        <f>IF(C51&lt;&gt;"",VLOOKUP(C51,Preciario!$A$2:$D$66,3,FALSE),"")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51" s="24">
        <f>IF(C51&lt;&gt;"",VLOOKUP(C51,Preciario!$A$2:$D$66,4,FALSE),"")</f>
        <v>862.465236111114</v>
      </c>
      <c r="G51" s="24">
        <f t="shared" si="5"/>
        <v>2587.3957083333421</v>
      </c>
      <c r="I51" s="16"/>
      <c r="J51" s="72" t="s">
        <v>3</v>
      </c>
      <c r="K51" s="15"/>
      <c r="L51" s="15"/>
      <c r="M51" s="15"/>
      <c r="N51" s="15"/>
      <c r="O51" s="7">
        <f t="shared" si="6"/>
        <v>0</v>
      </c>
    </row>
    <row r="52" spans="1:15" ht="37.5" x14ac:dyDescent="0.35">
      <c r="A52" s="71">
        <v>3</v>
      </c>
      <c r="B52" s="72" t="s">
        <v>3</v>
      </c>
      <c r="C52" s="73" t="s">
        <v>247</v>
      </c>
      <c r="D52" s="72" t="str">
        <f>IF(C52&lt;&gt;"",VLOOKUP(C52,Preciario!$A$2:$D$66,2,FALSE),"")</f>
        <v>Caja FO IP67</v>
      </c>
      <c r="E52" s="73" t="str">
        <f>IF(C52&lt;&gt;"",VLOOKUP(C52,Preciario!$A$2:$D$66,3,FALSE),"")</f>
        <v>Caja de distribución de fibra óptica caja de distribución de 1 a 16 puertos, capacidad para 24 empalmes en bandejas, impermeable, para exteriores, IP67</v>
      </c>
      <c r="F52" s="24">
        <f>IF(C52&lt;&gt;"",VLOOKUP(C52,Preciario!$A$2:$D$66,4,FALSE),"")</f>
        <v>52</v>
      </c>
      <c r="G52" s="24">
        <f t="shared" si="5"/>
        <v>156</v>
      </c>
      <c r="I52" s="16"/>
      <c r="J52" s="72" t="s">
        <v>3</v>
      </c>
      <c r="K52" s="15"/>
      <c r="L52" s="15"/>
      <c r="M52" s="15"/>
      <c r="N52" s="15"/>
      <c r="O52" s="7">
        <f t="shared" si="6"/>
        <v>0</v>
      </c>
    </row>
    <row r="53" spans="1:15" ht="25" x14ac:dyDescent="0.35">
      <c r="A53" s="71">
        <v>80</v>
      </c>
      <c r="B53" s="72" t="s">
        <v>10</v>
      </c>
      <c r="C53" s="73" t="s">
        <v>273</v>
      </c>
      <c r="D53" s="72" t="str">
        <f>IF(C53&lt;&gt;"",VLOOKUP(C53,Preciario!$A$2:$D$66,2,FALSE),"")</f>
        <v>TUBAC32</v>
      </c>
      <c r="E53" s="73" t="str">
        <f>IF(C53&lt;&gt;"",VLOOKUP(C53,Preciario!$A$2:$D$66,3,FALSE),"")</f>
        <v>Suministro e instalación de tubo acero M32, p.p mano de obra y accesorios</v>
      </c>
      <c r="F53" s="24">
        <f>IF(C53&lt;&gt;"",VLOOKUP(C53,Preciario!$A$2:$D$66,4,FALSE),"")</f>
        <v>24.78</v>
      </c>
      <c r="G53" s="24">
        <f t="shared" si="5"/>
        <v>1982.4</v>
      </c>
      <c r="I53" s="16"/>
      <c r="J53" s="72" t="s">
        <v>10</v>
      </c>
      <c r="K53" s="15"/>
      <c r="L53" s="15"/>
      <c r="M53" s="15"/>
      <c r="N53" s="15"/>
      <c r="O53" s="7">
        <f t="shared" si="6"/>
        <v>0</v>
      </c>
    </row>
    <row r="54" spans="1:15" ht="25" x14ac:dyDescent="0.35">
      <c r="A54" s="71">
        <v>900</v>
      </c>
      <c r="B54" s="72" t="s">
        <v>10</v>
      </c>
      <c r="C54" s="73" t="s">
        <v>275</v>
      </c>
      <c r="D54" s="72" t="str">
        <f>IF(C54&lt;&gt;"",VLOOKUP(C54,Preciario!$A$2:$D$66,2,FALSE),"")</f>
        <v>C_ELE_3X2,5</v>
      </c>
      <c r="E54" s="73" t="str">
        <f>IF(C54&lt;&gt;"",VLOOKUP(C54,Preciario!$A$2:$D$66,3,FALSE),"")</f>
        <v>Suministro e instalación de manguera exterior RZ1-K 3x2,5mm</v>
      </c>
      <c r="F54" s="24">
        <f>IF(C54&lt;&gt;"",VLOOKUP(C54,Preciario!$A$2:$D$66,4,FALSE),"")</f>
        <v>4</v>
      </c>
      <c r="G54" s="24">
        <f t="shared" si="5"/>
        <v>3600</v>
      </c>
      <c r="I54" s="16"/>
      <c r="J54" s="72" t="s">
        <v>10</v>
      </c>
      <c r="K54" s="15"/>
      <c r="L54" s="15"/>
      <c r="M54" s="15"/>
      <c r="N54" s="15"/>
      <c r="O54" s="7">
        <f t="shared" si="6"/>
        <v>0</v>
      </c>
    </row>
    <row r="55" spans="1:15" ht="62.5" x14ac:dyDescent="0.35">
      <c r="A55" s="71">
        <v>750</v>
      </c>
      <c r="B55" s="72" t="s">
        <v>10</v>
      </c>
      <c r="C55" s="73" t="s">
        <v>277</v>
      </c>
      <c r="D55" s="72" t="str">
        <f>IF(C55&lt;&gt;"",VLOOKUP(C55,Preciario!$A$2:$D$66,2,FALSE),"")</f>
        <v>FTP_CAT6A/CAT7</v>
      </c>
      <c r="E55" s="73" t="str">
        <f>IF(C55&lt;&gt;"",VLOOKUP(C55,Preciario!$A$2:$D$66,3,FALSE),"")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55" s="24">
        <f>IF(C55&lt;&gt;"",VLOOKUP(C55,Preciario!$A$2:$D$66,4,FALSE),"")</f>
        <v>4.8</v>
      </c>
      <c r="G55" s="24">
        <f t="shared" si="5"/>
        <v>3600</v>
      </c>
      <c r="I55" s="16"/>
      <c r="J55" s="72" t="s">
        <v>10</v>
      </c>
      <c r="K55" s="15"/>
      <c r="L55" s="15"/>
      <c r="M55" s="15"/>
      <c r="N55" s="15"/>
      <c r="O55" s="7">
        <f t="shared" si="6"/>
        <v>0</v>
      </c>
    </row>
    <row r="56" spans="1:15" ht="50" x14ac:dyDescent="0.35">
      <c r="A56" s="71">
        <v>900</v>
      </c>
      <c r="B56" s="72" t="s">
        <v>10</v>
      </c>
      <c r="C56" s="73" t="s">
        <v>278</v>
      </c>
      <c r="D56" s="72" t="str">
        <f>IF(C56&lt;&gt;"",VLOOKUP(C56,Preciario!$A$2:$D$66,2,FALSE),"")</f>
        <v>FO_OS2</v>
      </c>
      <c r="E56" s="73" t="str">
        <f>IF(C56&lt;&gt;"",VLOOKUP(C56,Preciario!$A$2:$D$66,3,FALSE),"")</f>
        <v xml:space="preserve">Suministro e instalación de manguera de fibra óptica de exterior con cubierta de PE protección UV, malla-chapa antiroedor, CPR, 12 FO SM, de tipo OS2 pp. Conexionado fusiones y certificación </v>
      </c>
      <c r="F56" s="24">
        <f>IF(C56&lt;&gt;"",VLOOKUP(C56,Preciario!$A$2:$D$66,4,FALSE),"")</f>
        <v>5.2</v>
      </c>
      <c r="G56" s="24">
        <f t="shared" si="5"/>
        <v>4680</v>
      </c>
      <c r="I56" s="16"/>
      <c r="J56" s="72" t="s">
        <v>10</v>
      </c>
      <c r="K56" s="15"/>
      <c r="L56" s="15"/>
      <c r="M56" s="15"/>
      <c r="N56" s="15"/>
      <c r="O56" s="7">
        <f t="shared" si="6"/>
        <v>0</v>
      </c>
    </row>
    <row r="57" spans="1:15" ht="75" x14ac:dyDescent="0.35">
      <c r="A57" s="71">
        <v>6</v>
      </c>
      <c r="B57" s="72" t="s">
        <v>3</v>
      </c>
      <c r="C57" s="73" t="s">
        <v>234</v>
      </c>
      <c r="D57" s="72" t="str">
        <f>IF(C57&lt;&gt;"",VLOOKUP(C57,Preciario!$A$2:$D$66,2,FALSE),"")</f>
        <v>ZPT606060</v>
      </c>
      <c r="E57" s="73" t="str">
        <f>IF(C57&lt;&gt;"",VLOOKUP(C57,Preciario!$A$2:$D$66,3,FALSE),"")</f>
        <v>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v>
      </c>
      <c r="F57" s="24">
        <f>IF(C57&lt;&gt;"",VLOOKUP(C57,Preciario!$A$2:$D$66,4,FALSE),"")</f>
        <v>226.5</v>
      </c>
      <c r="G57" s="24">
        <f t="shared" si="5"/>
        <v>1359</v>
      </c>
      <c r="I57" s="16"/>
      <c r="J57" s="72" t="s">
        <v>3</v>
      </c>
      <c r="K57" s="15"/>
      <c r="L57" s="15"/>
      <c r="M57" s="15"/>
      <c r="N57" s="15"/>
      <c r="O57" s="7">
        <f t="shared" si="6"/>
        <v>0</v>
      </c>
    </row>
    <row r="58" spans="1:15" ht="37.5" x14ac:dyDescent="0.35">
      <c r="A58" s="71">
        <v>2</v>
      </c>
      <c r="B58" s="72" t="s">
        <v>3</v>
      </c>
      <c r="C58" s="73" t="s">
        <v>286</v>
      </c>
      <c r="D58" s="72" t="str">
        <f>IF(C58&lt;&gt;"",VLOOKUP(C58,Preciario!$A$2:$D$66,2,FALSE),"")</f>
        <v>Río</v>
      </c>
      <c r="E58" s="73" t="str">
        <f>IF(C58&lt;&gt;"",VLOOKUP(C58,Preciario!$A$2:$D$66,3,FALSE),"")</f>
        <v>Módulo expansor de zonas, para ampliación de la capacidad de entradas de la central de intrusión ofertada. Incluida fuente de alimentación y batería</v>
      </c>
      <c r="F58" s="24">
        <f>IF(C58&lt;&gt;"",VLOOKUP(C58,Preciario!$A$2:$D$66,4,FALSE),"")</f>
        <v>350</v>
      </c>
      <c r="G58" s="24">
        <f t="shared" si="5"/>
        <v>700</v>
      </c>
      <c r="I58" s="16"/>
      <c r="J58" s="72" t="s">
        <v>3</v>
      </c>
      <c r="K58" s="15"/>
      <c r="L58" s="15"/>
      <c r="M58" s="15"/>
      <c r="N58" s="15"/>
      <c r="O58" s="7">
        <f t="shared" si="6"/>
        <v>0</v>
      </c>
    </row>
    <row r="59" spans="1:15" ht="100" x14ac:dyDescent="0.35">
      <c r="A59" s="71">
        <v>2</v>
      </c>
      <c r="B59" s="72" t="s">
        <v>3</v>
      </c>
      <c r="C59" s="73" t="s">
        <v>289</v>
      </c>
      <c r="D59" s="72" t="str">
        <f>IF(C59&lt;&gt;"",VLOOKUP(C59,Preciario!$A$2:$D$66,2,FALSE),"")</f>
        <v>MOXA Iologik E1214</v>
      </c>
      <c r="E59" s="73" t="str">
        <f>IF(C59&lt;&gt;"",VLOOKUP(C59,Preciario!$A$2:$D$66,3,FALSE),"")</f>
        <v>Módulo de E/S digitales Ethernet. Seis puertos de entrada digital y 6 puertos de salida digital mediante Relé. Entradas digitales: 6 canales. Relés: 6 canales. Aislamiento: 3k VDC o 2k Vrms. Tipo de sensor: contacto húmedo (NPN o PNP), contacto seco. Modo I/O: DI o contador de eventos. Contacto seco: Encendido: corto a GND. Apagado: abierto. Contacto húmedo (DI a COM): Encendido: 10 a 30 VCC. Apagado: 0 a 3 VCC. Según características descritas en PPT.</v>
      </c>
      <c r="F59" s="24">
        <f>IF(C59&lt;&gt;"",VLOOKUP(C59,Preciario!$A$2:$D$66,4,FALSE),"")</f>
        <v>300</v>
      </c>
      <c r="G59" s="24">
        <f t="shared" si="5"/>
        <v>600</v>
      </c>
      <c r="H59" s="49"/>
      <c r="I59" s="16"/>
      <c r="J59" s="72" t="s">
        <v>3</v>
      </c>
      <c r="K59" s="15"/>
      <c r="L59" s="15"/>
      <c r="M59" s="15"/>
      <c r="N59" s="15"/>
      <c r="O59" s="7">
        <f t="shared" si="6"/>
        <v>0</v>
      </c>
    </row>
    <row r="60" spans="1:15" ht="25" x14ac:dyDescent="0.35">
      <c r="A60" s="71">
        <v>1</v>
      </c>
      <c r="B60" s="72" t="s">
        <v>11</v>
      </c>
      <c r="C60" s="73" t="s">
        <v>307</v>
      </c>
      <c r="D60" s="72" t="s">
        <v>164</v>
      </c>
      <c r="E60" s="73" t="str">
        <f>IF(C60&lt;&gt;"",VLOOKUP(C60,Preciario!$A$2:$D$66,3,FALSE),"")</f>
        <v>Partida de mano de obra para configuración módulos IO en abonado CRA</v>
      </c>
      <c r="F60" s="24">
        <v>350</v>
      </c>
      <c r="G60" s="24">
        <f t="shared" si="5"/>
        <v>350</v>
      </c>
      <c r="I60" s="16"/>
      <c r="J60" s="6" t="s">
        <v>11</v>
      </c>
      <c r="K60" s="15"/>
      <c r="L60" s="15"/>
      <c r="M60" s="15"/>
      <c r="N60" s="15"/>
      <c r="O60" s="7">
        <f t="shared" si="6"/>
        <v>0</v>
      </c>
    </row>
    <row r="61" spans="1:15" ht="25" x14ac:dyDescent="0.35">
      <c r="A61" s="71">
        <f>'Presupuesto Total'!D32</f>
        <v>1</v>
      </c>
      <c r="B61" s="72" t="s">
        <v>11</v>
      </c>
      <c r="C61" s="73" t="s">
        <v>163</v>
      </c>
      <c r="D61" s="72" t="s">
        <v>164</v>
      </c>
      <c r="E61" s="73" t="str">
        <f>IF(C61&lt;&gt;"",VLOOKUP(C61,Preciario!$A$2:$D$66,3,FALSE),"")</f>
        <v>Partida ayudas auxiliares en equipamiento y mano de obra en sistemas de energía</v>
      </c>
      <c r="F61" s="24">
        <v>3009.49</v>
      </c>
      <c r="G61" s="24">
        <f t="shared" si="5"/>
        <v>3009.49</v>
      </c>
      <c r="I61" s="16"/>
      <c r="J61" s="72" t="s">
        <v>11</v>
      </c>
      <c r="K61" s="15"/>
      <c r="L61" s="15"/>
      <c r="M61" s="15"/>
      <c r="N61" s="15"/>
      <c r="O61" s="7">
        <f t="shared" ref="O61" si="8">+N61*I61</f>
        <v>0</v>
      </c>
    </row>
    <row r="62" spans="1:15" ht="25" x14ac:dyDescent="0.35">
      <c r="A62" s="71">
        <f>'Presupuesto Total'!D33</f>
        <v>1</v>
      </c>
      <c r="B62" s="72" t="s">
        <v>11</v>
      </c>
      <c r="C62" s="73" t="s">
        <v>185</v>
      </c>
      <c r="D62" s="72" t="s">
        <v>162</v>
      </c>
      <c r="E62" s="73" t="str">
        <f>IF(C62&lt;&gt;"",VLOOKUP(C62,Preciario!$A$2:$D$66,3,FALSE),"")</f>
        <v>Partida ayudas auxiliares en equipamiento y mano de obra en albañilería</v>
      </c>
      <c r="F62" s="24">
        <v>3009.49</v>
      </c>
      <c r="G62" s="24">
        <f t="shared" si="5"/>
        <v>3009.49</v>
      </c>
      <c r="I62" s="16"/>
      <c r="J62" s="72" t="s">
        <v>11</v>
      </c>
      <c r="K62" s="15"/>
      <c r="L62" s="15"/>
      <c r="M62" s="15"/>
      <c r="N62" s="15"/>
      <c r="O62" s="7">
        <f t="shared" si="6"/>
        <v>0</v>
      </c>
    </row>
    <row r="63" spans="1:15" x14ac:dyDescent="0.35">
      <c r="A63" s="8"/>
      <c r="B63" s="8"/>
      <c r="C63" s="9"/>
      <c r="D63" s="9"/>
      <c r="E63" s="9"/>
      <c r="F63" s="19" t="s">
        <v>4</v>
      </c>
      <c r="G63" s="20">
        <f>SUM(G41:G62)</f>
        <v>69101.225708333353</v>
      </c>
      <c r="I63" s="8"/>
      <c r="J63" s="8"/>
      <c r="K63" s="9"/>
      <c r="L63" s="9"/>
      <c r="M63" s="9"/>
      <c r="N63" s="19" t="s">
        <v>4</v>
      </c>
      <c r="O63" s="20">
        <f>SUM(O41:O62)</f>
        <v>0</v>
      </c>
    </row>
    <row r="64" spans="1:15" x14ac:dyDescent="0.35">
      <c r="A64" s="10"/>
      <c r="B64" s="10"/>
      <c r="C64" s="11"/>
      <c r="D64" s="11"/>
      <c r="E64" s="11"/>
      <c r="F64" s="11"/>
      <c r="G64" s="11"/>
      <c r="I64" s="10"/>
      <c r="J64" s="10"/>
      <c r="K64" s="11"/>
      <c r="L64" s="11"/>
      <c r="M64" s="11"/>
      <c r="N64" s="11"/>
      <c r="O64" s="11"/>
    </row>
    <row r="65" spans="1:18" x14ac:dyDescent="0.35">
      <c r="A65" s="198" t="s">
        <v>153</v>
      </c>
      <c r="B65" s="199"/>
      <c r="C65" s="200"/>
      <c r="D65" s="4"/>
      <c r="E65" s="4"/>
      <c r="F65" s="4"/>
      <c r="G65" s="5"/>
      <c r="I65" s="198" t="s">
        <v>153</v>
      </c>
      <c r="J65" s="199"/>
      <c r="K65" s="200"/>
      <c r="L65" s="87"/>
      <c r="M65" s="87"/>
      <c r="N65" s="4"/>
      <c r="O65" s="4"/>
    </row>
    <row r="66" spans="1:18" x14ac:dyDescent="0.35">
      <c r="A66" s="197" t="s">
        <v>0</v>
      </c>
      <c r="B66" s="197"/>
      <c r="C66" s="12" t="s">
        <v>13</v>
      </c>
      <c r="D66" s="12" t="s">
        <v>14</v>
      </c>
      <c r="E66" s="12" t="s">
        <v>256</v>
      </c>
      <c r="F66" s="12" t="s">
        <v>2</v>
      </c>
      <c r="G66" s="13" t="s">
        <v>7</v>
      </c>
      <c r="I66" s="197" t="s">
        <v>0</v>
      </c>
      <c r="J66" s="197"/>
      <c r="K66" s="12" t="s">
        <v>13</v>
      </c>
      <c r="L66" s="12" t="s">
        <v>14</v>
      </c>
      <c r="M66" s="12" t="s">
        <v>256</v>
      </c>
      <c r="N66" s="12" t="s">
        <v>2</v>
      </c>
      <c r="O66" s="13" t="s">
        <v>7</v>
      </c>
    </row>
    <row r="67" spans="1:18" ht="125" x14ac:dyDescent="0.35">
      <c r="A67" s="71">
        <v>11</v>
      </c>
      <c r="B67" s="72" t="s">
        <v>3</v>
      </c>
      <c r="C67" s="73" t="s">
        <v>72</v>
      </c>
      <c r="D67" s="72" t="str">
        <f>IF(C67&lt;&gt;"",VLOOKUP(C67,Preciario!$A$2:$D$66,2,FALSE),"")</f>
        <v>P3265LVE</v>
      </c>
      <c r="E67" s="73" t="str">
        <f>IF(C67&lt;&gt;"",VLOOKUP(C67,Preciario!$A$2:$D$66,3,FALSE),"")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67" s="24">
        <f>IF(C67&lt;&gt;"",VLOOKUP(C67,Preciario!$A$2:$D$66,4,FALSE),"")</f>
        <v>749</v>
      </c>
      <c r="G67" s="24">
        <f t="shared" ref="G67:G72" si="9">A67*F67</f>
        <v>8239</v>
      </c>
      <c r="I67" s="16"/>
      <c r="J67" s="72" t="s">
        <v>3</v>
      </c>
      <c r="K67" s="15"/>
      <c r="L67" s="15"/>
      <c r="M67" s="15"/>
      <c r="N67" s="15"/>
      <c r="O67" s="7">
        <f t="shared" ref="O67:O72" si="10">+N67*I67</f>
        <v>0</v>
      </c>
    </row>
    <row r="68" spans="1:18" ht="62.5" x14ac:dyDescent="0.35">
      <c r="A68" s="71">
        <v>11</v>
      </c>
      <c r="B68" s="72" t="s">
        <v>3</v>
      </c>
      <c r="C68" s="73" t="s">
        <v>266</v>
      </c>
      <c r="D68" s="72" t="str">
        <f>IF(C68&lt;&gt;"",VLOOKUP(C68,Preciario!$A$2:$D$66,2,FALSE),"")</f>
        <v>T91B47</v>
      </c>
      <c r="E68" s="73" t="str">
        <f>IF(C68&lt;&gt;"",VLOOKUP(C68,Preciario!$A$2:$D$66,3,FALSE),"")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68" s="24">
        <f>IF(C68&lt;&gt;"",VLOOKUP(C68,Preciario!$A$2:$D$66,4,FALSE),"")</f>
        <v>89</v>
      </c>
      <c r="G68" s="24">
        <f t="shared" si="9"/>
        <v>979</v>
      </c>
      <c r="I68" s="16"/>
      <c r="J68" s="72" t="s">
        <v>3</v>
      </c>
      <c r="K68" s="15"/>
      <c r="L68" s="15"/>
      <c r="M68" s="15"/>
      <c r="N68" s="15"/>
      <c r="O68" s="7">
        <f t="shared" ref="O68" si="11">+N68*I68</f>
        <v>0</v>
      </c>
    </row>
    <row r="69" spans="1:18" ht="25" x14ac:dyDescent="0.35">
      <c r="A69" s="71">
        <v>50</v>
      </c>
      <c r="B69" s="72" t="s">
        <v>10</v>
      </c>
      <c r="C69" s="73" t="s">
        <v>273</v>
      </c>
      <c r="D69" s="72" t="str">
        <f>IF(C69&lt;&gt;"",VLOOKUP(C69,Preciario!$A$2:$D$66,2,FALSE),"")</f>
        <v>TUBAC32</v>
      </c>
      <c r="E69" s="73" t="str">
        <f>IF(C69&lt;&gt;"",VLOOKUP(C69,Preciario!$A$2:$D$66,3,FALSE),"")</f>
        <v>Suministro e instalación de tubo acero M32, p.p mano de obra y accesorios</v>
      </c>
      <c r="F69" s="24">
        <f>IF(C69&lt;&gt;"",VLOOKUP(C69,Preciario!$A$2:$D$66,4,FALSE),"")</f>
        <v>24.78</v>
      </c>
      <c r="G69" s="24">
        <f t="shared" si="9"/>
        <v>1239</v>
      </c>
      <c r="I69" s="16"/>
      <c r="J69" s="72" t="s">
        <v>10</v>
      </c>
      <c r="K69" s="15"/>
      <c r="L69" s="15"/>
      <c r="M69" s="15"/>
      <c r="N69" s="15"/>
      <c r="O69" s="7">
        <f t="shared" si="10"/>
        <v>0</v>
      </c>
    </row>
    <row r="70" spans="1:18" ht="62.5" x14ac:dyDescent="0.35">
      <c r="A70" s="71">
        <v>800</v>
      </c>
      <c r="B70" s="72" t="s">
        <v>10</v>
      </c>
      <c r="C70" s="73" t="s">
        <v>277</v>
      </c>
      <c r="D70" s="72" t="str">
        <f>IF(C70&lt;&gt;"",VLOOKUP(C70,Preciario!$A$2:$D$66,2,FALSE),"")</f>
        <v>FTP_CAT6A/CAT7</v>
      </c>
      <c r="E70" s="73" t="str">
        <f>IF(C70&lt;&gt;"",VLOOKUP(C70,Preciario!$A$2:$D$66,3,FALSE),"")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70" s="24">
        <f>IF(C70&lt;&gt;"",VLOOKUP(C70,Preciario!$A$2:$D$66,4,FALSE),"")</f>
        <v>4.8</v>
      </c>
      <c r="G70" s="24">
        <f t="shared" si="9"/>
        <v>3840</v>
      </c>
      <c r="I70" s="16"/>
      <c r="J70" s="72" t="s">
        <v>10</v>
      </c>
      <c r="K70" s="15"/>
      <c r="L70" s="15"/>
      <c r="M70" s="15"/>
      <c r="N70" s="15"/>
      <c r="O70" s="7">
        <f t="shared" si="10"/>
        <v>0</v>
      </c>
    </row>
    <row r="71" spans="1:18" ht="25" x14ac:dyDescent="0.35">
      <c r="A71" s="71">
        <f>'Presupuesto Total'!D32</f>
        <v>1</v>
      </c>
      <c r="B71" s="72" t="s">
        <v>11</v>
      </c>
      <c r="C71" s="73" t="s">
        <v>163</v>
      </c>
      <c r="D71" s="72" t="s">
        <v>164</v>
      </c>
      <c r="E71" s="73" t="str">
        <f>IF(C71&lt;&gt;"",VLOOKUP(C71,Preciario!$A$2:$D$66,3,FALSE),"")</f>
        <v>Partida ayudas auxiliares en equipamiento y mano de obra en sistemas de energía</v>
      </c>
      <c r="F71" s="24">
        <v>802.32749999999999</v>
      </c>
      <c r="G71" s="24">
        <f t="shared" si="9"/>
        <v>802.32749999999999</v>
      </c>
      <c r="I71" s="16"/>
      <c r="J71" s="72" t="s">
        <v>11</v>
      </c>
      <c r="K71" s="15"/>
      <c r="L71" s="15"/>
      <c r="M71" s="15"/>
      <c r="N71" s="15"/>
      <c r="O71" s="7">
        <f t="shared" ref="O71" si="12">+N71*I71</f>
        <v>0</v>
      </c>
    </row>
    <row r="72" spans="1:18" ht="25" x14ac:dyDescent="0.35">
      <c r="A72" s="71">
        <f>'Presupuesto Total'!D32</f>
        <v>1</v>
      </c>
      <c r="B72" s="72" t="s">
        <v>11</v>
      </c>
      <c r="C72" s="73" t="s">
        <v>185</v>
      </c>
      <c r="D72" s="72" t="s">
        <v>162</v>
      </c>
      <c r="E72" s="73" t="str">
        <f>IF(C72&lt;&gt;"",VLOOKUP(C72,Preciario!$A$2:$D$66,3,FALSE),"")</f>
        <v>Partida ayudas auxiliares en equipamiento y mano de obra en albañilería</v>
      </c>
      <c r="F72" s="24">
        <v>802.32749999999999</v>
      </c>
      <c r="G72" s="24">
        <f t="shared" si="9"/>
        <v>802.32749999999999</v>
      </c>
      <c r="I72" s="16"/>
      <c r="J72" s="72" t="s">
        <v>11</v>
      </c>
      <c r="K72" s="15"/>
      <c r="L72" s="15"/>
      <c r="M72" s="15"/>
      <c r="N72" s="15"/>
      <c r="O72" s="7">
        <f t="shared" si="10"/>
        <v>0</v>
      </c>
    </row>
    <row r="73" spans="1:18" x14ac:dyDescent="0.35">
      <c r="A73" s="8"/>
      <c r="B73" s="8"/>
      <c r="C73" s="9"/>
      <c r="D73" s="9"/>
      <c r="E73" s="9"/>
      <c r="F73" s="19" t="s">
        <v>4</v>
      </c>
      <c r="G73" s="20">
        <f>SUM(G67:G72)</f>
        <v>15901.654999999999</v>
      </c>
      <c r="I73" s="8"/>
      <c r="J73" s="8"/>
      <c r="K73" s="9"/>
      <c r="L73" s="9"/>
      <c r="M73" s="9"/>
      <c r="N73" s="19" t="s">
        <v>4</v>
      </c>
      <c r="O73" s="20">
        <f>SUM(O67:O72)</f>
        <v>0</v>
      </c>
    </row>
    <row r="74" spans="1:18" x14ac:dyDescent="0.35">
      <c r="A74" s="10"/>
      <c r="B74" s="10"/>
      <c r="C74" s="11"/>
      <c r="D74" s="11"/>
      <c r="E74" s="11"/>
      <c r="F74" s="11"/>
      <c r="G74" s="11"/>
      <c r="I74" s="10"/>
      <c r="J74" s="10"/>
      <c r="K74" s="11"/>
      <c r="L74" s="11"/>
      <c r="M74" s="11"/>
      <c r="N74" s="11"/>
      <c r="O74" s="11"/>
    </row>
    <row r="75" spans="1:18" ht="14.4" customHeight="1" x14ac:dyDescent="0.35">
      <c r="A75" s="198" t="s">
        <v>194</v>
      </c>
      <c r="B75" s="199"/>
      <c r="C75" s="200"/>
      <c r="D75" s="4"/>
      <c r="E75" s="4"/>
      <c r="F75" s="4"/>
      <c r="G75" s="5"/>
      <c r="I75" s="198" t="s">
        <v>194</v>
      </c>
      <c r="J75" s="199"/>
      <c r="K75" s="200"/>
      <c r="L75" s="87"/>
      <c r="M75" s="87"/>
      <c r="N75" s="4"/>
      <c r="O75" s="4"/>
    </row>
    <row r="76" spans="1:18" x14ac:dyDescent="0.35">
      <c r="A76" s="197" t="s">
        <v>0</v>
      </c>
      <c r="B76" s="197"/>
      <c r="C76" s="12" t="s">
        <v>13</v>
      </c>
      <c r="D76" s="12" t="s">
        <v>14</v>
      </c>
      <c r="E76" s="12" t="s">
        <v>256</v>
      </c>
      <c r="F76" s="12" t="s">
        <v>2</v>
      </c>
      <c r="G76" s="13" t="s">
        <v>7</v>
      </c>
      <c r="I76" s="197" t="s">
        <v>0</v>
      </c>
      <c r="J76" s="197"/>
      <c r="K76" s="12" t="s">
        <v>13</v>
      </c>
      <c r="L76" s="12" t="s">
        <v>14</v>
      </c>
      <c r="M76" s="12" t="s">
        <v>256</v>
      </c>
      <c r="N76" s="12" t="s">
        <v>2</v>
      </c>
      <c r="O76" s="13" t="s">
        <v>7</v>
      </c>
    </row>
    <row r="77" spans="1:18" x14ac:dyDescent="0.35">
      <c r="A77" s="71">
        <v>2</v>
      </c>
      <c r="B77" s="72" t="s">
        <v>3</v>
      </c>
      <c r="C77" s="73" t="s">
        <v>212</v>
      </c>
      <c r="D77" s="72" t="str">
        <f>IF(C77&lt;&gt;"",VLOOKUP(C77,Preciario!$A$2:$D$66,2,FALSE),"")</f>
        <v>HDD10TB</v>
      </c>
      <c r="E77" s="73" t="str">
        <f>IF(C77&lt;&gt;"",VLOOKUP(C77,Preciario!$A$2:$D$66,3,FALSE),"")</f>
        <v>Disco duro SERVIDOR 10TB</v>
      </c>
      <c r="F77" s="24">
        <f>IF(C77&lt;&gt;"",VLOOKUP(C77,Preciario!$A$2:$D$66,4,FALSE),"")</f>
        <v>514.30000000000007</v>
      </c>
      <c r="G77" s="24">
        <f>A77*F77</f>
        <v>1028.6000000000001</v>
      </c>
      <c r="I77" s="16"/>
      <c r="J77" s="72" t="s">
        <v>3</v>
      </c>
      <c r="K77" s="15"/>
      <c r="L77" s="15"/>
      <c r="M77" s="15"/>
      <c r="N77" s="15"/>
      <c r="O77" s="7">
        <f t="shared" ref="O77:O79" si="13">+N77*I77</f>
        <v>0</v>
      </c>
    </row>
    <row r="78" spans="1:18" x14ac:dyDescent="0.35">
      <c r="A78" s="71">
        <v>1</v>
      </c>
      <c r="B78" s="72" t="s">
        <v>3</v>
      </c>
      <c r="C78" s="73" t="s">
        <v>218</v>
      </c>
      <c r="D78" s="72" t="str">
        <f>IF(C78&lt;&gt;"",VLOOKUP(C78,Preciario!$A$2:$D$66,2,FALSE),"")</f>
        <v>RAM8GB</v>
      </c>
      <c r="E78" s="73" t="str">
        <f>IF(C78&lt;&gt;"",VLOOKUP(C78,Preciario!$A$2:$D$66,3,FALSE),"")</f>
        <v>Memoría RAM 8GB</v>
      </c>
      <c r="F78" s="24">
        <f>IF(C78&lt;&gt;"",VLOOKUP(C78,Preciario!$A$2:$D$66,4,FALSE),"")</f>
        <v>51.800000000000004</v>
      </c>
      <c r="G78" s="24">
        <f>A78*F78</f>
        <v>51.800000000000004</v>
      </c>
      <c r="I78" s="16"/>
      <c r="J78" s="72" t="s">
        <v>3</v>
      </c>
      <c r="K78" s="15"/>
      <c r="L78" s="15"/>
      <c r="M78" s="15"/>
      <c r="N78" s="15"/>
      <c r="O78" s="7">
        <f t="shared" si="13"/>
        <v>0</v>
      </c>
    </row>
    <row r="79" spans="1:18" ht="15" customHeight="1" x14ac:dyDescent="0.35">
      <c r="A79" s="71">
        <v>1</v>
      </c>
      <c r="B79" s="72" t="s">
        <v>11</v>
      </c>
      <c r="C79" s="73" t="s">
        <v>207</v>
      </c>
      <c r="D79" s="72" t="s">
        <v>208</v>
      </c>
      <c r="E79" s="73" t="s">
        <v>207</v>
      </c>
      <c r="F79" s="24">
        <v>159.5625</v>
      </c>
      <c r="G79" s="24">
        <f>A79*F79</f>
        <v>159.5625</v>
      </c>
      <c r="I79" s="16"/>
      <c r="J79" s="72" t="s">
        <v>11</v>
      </c>
      <c r="K79" s="15"/>
      <c r="L79" s="15"/>
      <c r="M79" s="15"/>
      <c r="N79" s="15"/>
      <c r="O79" s="7">
        <f t="shared" si="13"/>
        <v>0</v>
      </c>
      <c r="Q79" s="104"/>
      <c r="R79" s="104"/>
    </row>
    <row r="80" spans="1:18" x14ac:dyDescent="0.35">
      <c r="A80" s="8"/>
      <c r="B80" s="8"/>
      <c r="C80" s="9"/>
      <c r="D80" s="9"/>
      <c r="E80" s="9"/>
      <c r="F80" s="19" t="s">
        <v>4</v>
      </c>
      <c r="G80" s="20">
        <f>SUM(G77:G79)</f>
        <v>1239.9625000000001</v>
      </c>
      <c r="I80" s="8"/>
      <c r="J80" s="8"/>
      <c r="K80" s="9"/>
      <c r="L80" s="9"/>
      <c r="M80" s="9"/>
      <c r="N80" s="19" t="s">
        <v>4</v>
      </c>
      <c r="O80" s="20">
        <f>SUM(O77:O79)</f>
        <v>0</v>
      </c>
    </row>
    <row r="81" spans="1:15" x14ac:dyDescent="0.35">
      <c r="A81" s="10"/>
      <c r="B81" s="10"/>
      <c r="C81" s="11"/>
      <c r="D81" s="11"/>
      <c r="E81" s="11"/>
      <c r="F81" s="11"/>
      <c r="G81" s="11"/>
      <c r="I81" s="10"/>
      <c r="J81" s="10"/>
      <c r="K81" s="11"/>
      <c r="L81" s="11"/>
      <c r="M81" s="11"/>
      <c r="N81" s="11"/>
      <c r="O81" s="11"/>
    </row>
    <row r="82" spans="1:15" ht="27" customHeight="1" x14ac:dyDescent="0.35">
      <c r="A82" s="194" t="s">
        <v>102</v>
      </c>
      <c r="B82" s="195"/>
      <c r="C82" s="195"/>
      <c r="D82" s="195"/>
      <c r="E82" s="195"/>
      <c r="F82" s="196"/>
      <c r="G82" s="22">
        <f>G37+G63+G73+G80</f>
        <v>94717.169444444458</v>
      </c>
      <c r="I82" s="194" t="s">
        <v>102</v>
      </c>
      <c r="J82" s="195"/>
      <c r="K82" s="195"/>
      <c r="L82" s="195"/>
      <c r="M82" s="195"/>
      <c r="N82" s="196"/>
      <c r="O82" s="25">
        <f>O37+O63+O73+O80</f>
        <v>0</v>
      </c>
    </row>
  </sheetData>
  <sheetProtection algorithmName="SHA-512" hashValue="0GKnmqwEESaffgOSe6swes3wdIEIK25iMvNsG5SgSxhknQy3T2ga0E21WXEPmRZK8wfYQmbYO+eikQjYJLPc8A==" saltValue="hiSXNIBj3jQd98VcDBpv5A==" spinCount="100000" sheet="1" selectLockedCells="1"/>
  <mergeCells count="22">
    <mergeCell ref="D3:K6"/>
    <mergeCell ref="A9:O9"/>
    <mergeCell ref="C11:D11"/>
    <mergeCell ref="K11:L11"/>
    <mergeCell ref="A20:C20"/>
    <mergeCell ref="I20:K20"/>
    <mergeCell ref="A21:B21"/>
    <mergeCell ref="I21:J21"/>
    <mergeCell ref="A39:C39"/>
    <mergeCell ref="I39:K39"/>
    <mergeCell ref="A40:B40"/>
    <mergeCell ref="I40:J40"/>
    <mergeCell ref="A82:F82"/>
    <mergeCell ref="I82:N82"/>
    <mergeCell ref="A65:C65"/>
    <mergeCell ref="I65:K65"/>
    <mergeCell ref="A66:B66"/>
    <mergeCell ref="I66:J66"/>
    <mergeCell ref="A75:C75"/>
    <mergeCell ref="I75:K75"/>
    <mergeCell ref="A76:B76"/>
    <mergeCell ref="I76:J76"/>
  </mergeCells>
  <dataValidations count="3">
    <dataValidation type="whole" allowBlank="1" showInputMessage="1" showErrorMessage="1" error="Introducir Unidades" sqref="A21 A66 A40 A76 I73 I40 I63 I37:I38 I21 I66 I76 I80" xr:uid="{583D6EA1-F22B-4628-A1F4-E47A9910FF2C}">
      <formula1>1</formula1>
      <formula2>1000</formula2>
    </dataValidation>
    <dataValidation type="decimal" allowBlank="1" showInputMessage="1" showErrorMessage="1" error="Introducir Precio Unitario" sqref="F21 F66 F40 F76 N76 N66 N40 N21" xr:uid="{EDCC40EB-B3B2-4617-B932-9C46A1A86551}">
      <formula1>1</formula1>
      <formula2>100000</formula2>
    </dataValidation>
    <dataValidation type="decimal" allowBlank="1" showErrorMessage="1" error="Introducir Precio Unitario" sqref="N65 N37:N39 N73 N75 N63 N80" xr:uid="{095D319F-D527-4483-B950-32107F3302F6}">
      <formula1>1</formula1>
      <formula2>100000</formula2>
    </dataValidation>
  </dataValidations>
  <hyperlinks>
    <hyperlink ref="H11" location="'Presupuesto Total'!A1" display="ÍNDICE" xr:uid="{6F14D981-C1B4-492C-B853-9EAEB8FAE0C8}"/>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5B658-DBEF-4F02-BFA7-B94E95242FB2}">
  <dimension ref="A3:U83"/>
  <sheetViews>
    <sheetView showGridLines="0" topLeftCell="E75" zoomScale="70" zoomScaleNormal="70" workbookViewId="0">
      <selection activeCell="K78" activeCellId="7" sqref="I22:I35 K22:N35 I40:I61 K40:N61 I66:I73 K66:N73 I78:I80 K78:N80"/>
    </sheetView>
  </sheetViews>
  <sheetFormatPr baseColWidth="10" defaultColWidth="11.54296875" defaultRowHeight="14.5" x14ac:dyDescent="0.35"/>
  <cols>
    <col min="1" max="1" width="8.08984375" style="1" bestFit="1" customWidth="1"/>
    <col min="2" max="2" width="3" style="1" bestFit="1" customWidth="1"/>
    <col min="3" max="3" width="57.453125" style="1" customWidth="1"/>
    <col min="4" max="4" width="19.453125" style="1" customWidth="1"/>
    <col min="5" max="5" width="51.08984375" style="1" customWidth="1"/>
    <col min="6" max="6" width="13.54296875" style="1" bestFit="1" customWidth="1"/>
    <col min="7" max="7" width="10.54296875" style="1" bestFit="1" customWidth="1"/>
    <col min="8" max="9" width="11.54296875" style="1"/>
    <col min="10" max="10" width="3" style="1" bestFit="1" customWidth="1"/>
    <col min="11" max="11" width="48.90625" style="1" bestFit="1" customWidth="1"/>
    <col min="12" max="12" width="19.453125" style="1" bestFit="1" customWidth="1"/>
    <col min="13" max="13" width="22.453125" style="1" customWidth="1"/>
    <col min="14" max="14" width="16" style="1" bestFit="1" customWidth="1"/>
    <col min="15" max="15" width="14.453125" style="1" bestFit="1" customWidth="1"/>
    <col min="16" max="16384" width="11.54296875" style="1"/>
  </cols>
  <sheetData>
    <row r="3" spans="1:21" ht="14.4" customHeight="1" x14ac:dyDescent="0.35">
      <c r="D3" s="201" t="s">
        <v>104</v>
      </c>
      <c r="E3" s="202"/>
      <c r="F3" s="202"/>
      <c r="G3" s="202"/>
      <c r="H3" s="202"/>
      <c r="I3" s="202"/>
      <c r="J3" s="202"/>
      <c r="K3" s="202"/>
      <c r="N3" s="23"/>
    </row>
    <row r="4" spans="1:21" ht="14.4" customHeight="1" x14ac:dyDescent="0.35">
      <c r="D4" s="201"/>
      <c r="E4" s="202"/>
      <c r="F4" s="202"/>
      <c r="G4" s="202"/>
      <c r="H4" s="202"/>
      <c r="I4" s="202"/>
      <c r="J4" s="202"/>
      <c r="K4" s="202"/>
      <c r="N4" s="23"/>
    </row>
    <row r="5" spans="1:21" ht="14.4" customHeight="1" x14ac:dyDescent="0.35">
      <c r="D5" s="201"/>
      <c r="E5" s="202"/>
      <c r="F5" s="202"/>
      <c r="G5" s="202"/>
      <c r="H5" s="202"/>
      <c r="I5" s="202"/>
      <c r="J5" s="202"/>
      <c r="K5" s="202"/>
      <c r="N5" s="23"/>
    </row>
    <row r="6" spans="1:21" ht="14.4" customHeight="1" x14ac:dyDescent="0.35">
      <c r="D6" s="201"/>
      <c r="E6" s="202"/>
      <c r="F6" s="202"/>
      <c r="G6" s="202"/>
      <c r="H6" s="202"/>
      <c r="I6" s="202"/>
      <c r="J6" s="202"/>
      <c r="K6" s="202"/>
      <c r="N6" s="23"/>
    </row>
    <row r="7" spans="1:21" ht="14.4" customHeight="1" x14ac:dyDescent="0.35">
      <c r="N7" s="23"/>
    </row>
    <row r="8" spans="1:21" ht="14.4" customHeight="1" x14ac:dyDescent="0.35">
      <c r="N8" s="23"/>
    </row>
    <row r="9" spans="1:21" ht="17.5" x14ac:dyDescent="0.35">
      <c r="A9" s="203"/>
      <c r="B9" s="203"/>
      <c r="C9" s="203"/>
      <c r="D9" s="203"/>
      <c r="E9" s="203"/>
      <c r="F9" s="203"/>
      <c r="G9" s="203"/>
      <c r="H9" s="203"/>
      <c r="I9" s="203"/>
      <c r="J9" s="203"/>
      <c r="K9" s="203"/>
      <c r="L9" s="203"/>
      <c r="M9" s="203"/>
      <c r="N9" s="203"/>
      <c r="O9" s="203"/>
    </row>
    <row r="10" spans="1:21" customFormat="1" ht="15" thickBot="1" x14ac:dyDescent="0.4">
      <c r="N10" s="1"/>
      <c r="O10" s="1"/>
    </row>
    <row r="11" spans="1:21" customFormat="1" ht="23.15" customHeight="1" thickBot="1" x14ac:dyDescent="0.4">
      <c r="C11" s="204" t="s">
        <v>16</v>
      </c>
      <c r="D11" s="205"/>
      <c r="E11" s="81"/>
      <c r="H11" s="45" t="s">
        <v>154</v>
      </c>
      <c r="I11" s="1"/>
      <c r="J11" s="1"/>
      <c r="K11" s="204" t="s">
        <v>15</v>
      </c>
      <c r="L11" s="205"/>
      <c r="M11" s="81"/>
      <c r="N11" s="1"/>
      <c r="O11" s="1"/>
      <c r="Q11" s="1"/>
      <c r="R11" s="1"/>
      <c r="S11" s="1"/>
      <c r="T11" s="1"/>
      <c r="U11" s="1"/>
    </row>
    <row r="12" spans="1:21" customFormat="1" x14ac:dyDescent="0.35">
      <c r="C12" s="1"/>
      <c r="D12" s="1"/>
      <c r="E12" s="82"/>
      <c r="F12" s="1"/>
      <c r="G12" s="1"/>
      <c r="I12" s="1"/>
      <c r="J12" s="1"/>
      <c r="K12" s="1"/>
      <c r="L12" s="1"/>
      <c r="M12" s="82"/>
      <c r="N12" s="1"/>
      <c r="O12" s="1"/>
      <c r="Q12" s="1"/>
      <c r="R12" s="1"/>
      <c r="S12" s="1"/>
      <c r="T12" s="1"/>
      <c r="U12" s="1"/>
    </row>
    <row r="13" spans="1:21" customFormat="1" ht="26" x14ac:dyDescent="0.35">
      <c r="C13" s="14" t="s">
        <v>105</v>
      </c>
      <c r="D13" s="14" t="s">
        <v>7</v>
      </c>
      <c r="E13" s="83"/>
      <c r="F13" s="1"/>
      <c r="G13" s="1"/>
      <c r="I13" s="1"/>
      <c r="J13" s="1"/>
      <c r="K13" s="14" t="s">
        <v>105</v>
      </c>
      <c r="L13" s="14" t="s">
        <v>17</v>
      </c>
      <c r="M13" s="83"/>
      <c r="N13" s="1"/>
      <c r="O13" s="1"/>
      <c r="Q13" s="1"/>
      <c r="R13" s="1"/>
      <c r="S13" s="1"/>
      <c r="T13" s="1"/>
      <c r="U13" s="1"/>
    </row>
    <row r="14" spans="1:21" customFormat="1" x14ac:dyDescent="0.35">
      <c r="C14" s="17" t="str">
        <f>A20</f>
        <v>1.- ATR</v>
      </c>
      <c r="D14" s="2">
        <f>G36</f>
        <v>8313.2752361111125</v>
      </c>
      <c r="E14" s="61"/>
      <c r="F14" s="1"/>
      <c r="G14" s="1"/>
      <c r="I14" s="1"/>
      <c r="J14" s="1"/>
      <c r="K14" s="17" t="str">
        <f>I20</f>
        <v>1.- ATR</v>
      </c>
      <c r="L14" s="2">
        <f>O36</f>
        <v>0</v>
      </c>
      <c r="M14" s="61"/>
      <c r="N14" s="1"/>
      <c r="O14" s="1"/>
      <c r="Q14" s="1"/>
      <c r="R14" s="1"/>
      <c r="S14" s="1"/>
      <c r="T14" s="1"/>
      <c r="U14" s="1"/>
    </row>
    <row r="15" spans="1:21" customFormat="1" x14ac:dyDescent="0.35">
      <c r="C15" s="17" t="str">
        <f>A38</f>
        <v>2.- PERÍMETRO</v>
      </c>
      <c r="D15" s="3">
        <f>G62</f>
        <v>58450.550944444461</v>
      </c>
      <c r="E15" s="62"/>
      <c r="F15" s="1"/>
      <c r="G15" s="1"/>
      <c r="I15" s="1"/>
      <c r="J15" s="1"/>
      <c r="K15" s="17" t="str">
        <f>I38</f>
        <v>2.- PERÍMETRO</v>
      </c>
      <c r="L15" s="3">
        <f>O62</f>
        <v>0</v>
      </c>
      <c r="M15" s="62"/>
      <c r="N15" s="1"/>
      <c r="O15" s="1"/>
      <c r="Q15" s="1"/>
      <c r="R15" s="1"/>
      <c r="S15" s="1"/>
      <c r="T15" s="1"/>
      <c r="U15" s="1"/>
    </row>
    <row r="16" spans="1:21" customFormat="1" x14ac:dyDescent="0.35">
      <c r="C16" s="17" t="str">
        <f>A64</f>
        <v>3.- CAMBIO A IP</v>
      </c>
      <c r="D16" s="3">
        <f>G74</f>
        <v>16036.54</v>
      </c>
      <c r="E16" s="62"/>
      <c r="F16" s="1"/>
      <c r="G16" s="1"/>
      <c r="I16" s="1"/>
      <c r="J16" s="1"/>
      <c r="K16" s="17" t="str">
        <f>I64</f>
        <v>3.- CAMBIO A IP</v>
      </c>
      <c r="L16" s="3">
        <f>O74</f>
        <v>0</v>
      </c>
      <c r="M16" s="62"/>
      <c r="N16" s="1"/>
      <c r="O16" s="1"/>
      <c r="Q16" s="1"/>
      <c r="R16" s="1"/>
      <c r="S16" s="1"/>
      <c r="T16" s="1"/>
      <c r="U16" s="1"/>
    </row>
    <row r="17" spans="1:21" customFormat="1" x14ac:dyDescent="0.35">
      <c r="C17" s="17" t="str">
        <f>A76</f>
        <v>4.- ACTUALIZACIÓN GRABADORES</v>
      </c>
      <c r="D17" s="3">
        <f>G81</f>
        <v>4192.5625</v>
      </c>
      <c r="E17" s="62"/>
      <c r="F17" s="1"/>
      <c r="G17" s="1"/>
      <c r="I17" s="1"/>
      <c r="J17" s="1"/>
      <c r="K17" s="17" t="str">
        <f>I76</f>
        <v>4.- ACTUALIZACIÓN GRABADORES</v>
      </c>
      <c r="L17" s="3">
        <f>O81</f>
        <v>0</v>
      </c>
      <c r="M17" s="62"/>
      <c r="N17" s="1"/>
      <c r="O17" s="1"/>
      <c r="Q17" s="1"/>
      <c r="R17" s="1"/>
      <c r="S17" s="1"/>
      <c r="T17" s="1"/>
      <c r="U17" s="1"/>
    </row>
    <row r="18" spans="1:21" customFormat="1" ht="15.5" x14ac:dyDescent="0.35">
      <c r="C18" s="18" t="s">
        <v>8</v>
      </c>
      <c r="D18" s="21">
        <f>+SUM(D14:D17)</f>
        <v>86992.928680555575</v>
      </c>
      <c r="E18" s="63"/>
      <c r="F18" s="1"/>
      <c r="G18" s="1"/>
      <c r="I18" s="1"/>
      <c r="J18" s="1"/>
      <c r="K18" s="18" t="s">
        <v>8</v>
      </c>
      <c r="L18" s="21">
        <f>+SUM(L14:L17)</f>
        <v>0</v>
      </c>
      <c r="M18" s="63"/>
      <c r="N18" s="1"/>
      <c r="O18" s="1"/>
      <c r="Q18" s="1"/>
      <c r="R18" s="1"/>
      <c r="S18" s="1"/>
      <c r="T18" s="1"/>
      <c r="U18" s="1"/>
    </row>
    <row r="20" spans="1:21" ht="14.4" customHeight="1" x14ac:dyDescent="0.35">
      <c r="A20" s="198" t="s">
        <v>69</v>
      </c>
      <c r="B20" s="199"/>
      <c r="C20" s="200"/>
      <c r="D20" s="4"/>
      <c r="E20" s="4"/>
      <c r="F20" s="4"/>
      <c r="G20" s="5"/>
      <c r="I20" s="85" t="s">
        <v>69</v>
      </c>
      <c r="J20" s="86"/>
      <c r="K20" s="86"/>
      <c r="L20" s="88"/>
      <c r="M20" s="88"/>
      <c r="N20" s="88"/>
      <c r="O20" s="88"/>
    </row>
    <row r="21" spans="1:21" x14ac:dyDescent="0.35">
      <c r="A21" s="197" t="s">
        <v>0</v>
      </c>
      <c r="B21" s="197"/>
      <c r="C21" s="12" t="s">
        <v>13</v>
      </c>
      <c r="D21" s="12" t="s">
        <v>14</v>
      </c>
      <c r="E21" s="12" t="s">
        <v>256</v>
      </c>
      <c r="F21" s="12" t="s">
        <v>2</v>
      </c>
      <c r="G21" s="13" t="s">
        <v>7</v>
      </c>
      <c r="I21" s="197" t="s">
        <v>0</v>
      </c>
      <c r="J21" s="197"/>
      <c r="K21" s="12" t="s">
        <v>13</v>
      </c>
      <c r="L21" s="12" t="s">
        <v>14</v>
      </c>
      <c r="M21" s="12" t="s">
        <v>256</v>
      </c>
      <c r="N21" s="12" t="s">
        <v>2</v>
      </c>
      <c r="O21" s="13" t="s">
        <v>7</v>
      </c>
    </row>
    <row r="22" spans="1:21" ht="25" x14ac:dyDescent="0.35">
      <c r="A22" s="71">
        <v>2</v>
      </c>
      <c r="B22" s="72" t="s">
        <v>3</v>
      </c>
      <c r="C22" s="73" t="s">
        <v>29</v>
      </c>
      <c r="D22" s="72" t="str">
        <f>IF(C22&lt;&gt;"",VLOOKUP(C22,Preciario!$A$2:$D$66,2,FALSE),"")</f>
        <v>BACULO</v>
      </c>
      <c r="E22" s="73" t="str">
        <f>IF(C22&lt;&gt;"",VLOOKUP(C22,Preciario!$A$2:$D$66,3,FALSE),"")</f>
        <v xml:space="preserve">Báculo de 4 metros de altura para la colocación de una cámara de videovigilancia. Incluye el soporte de suelo. </v>
      </c>
      <c r="F22" s="24">
        <f>IF(C22&lt;&gt;"",VLOOKUP(C22,Preciario!$A$2:$D$66,4,FALSE),"")</f>
        <v>330</v>
      </c>
      <c r="G22" s="24">
        <f t="shared" ref="G22:G35" si="0">A22*F22</f>
        <v>660</v>
      </c>
      <c r="I22" s="16"/>
      <c r="J22" s="72" t="s">
        <v>3</v>
      </c>
      <c r="K22" s="15"/>
      <c r="L22" s="15"/>
      <c r="M22" s="15"/>
      <c r="N22" s="15"/>
      <c r="O22" s="7">
        <f t="shared" ref="O22:O35" si="1">+N22*I22</f>
        <v>0</v>
      </c>
    </row>
    <row r="23" spans="1:21" ht="125" x14ac:dyDescent="0.35">
      <c r="A23" s="71">
        <v>2</v>
      </c>
      <c r="B23" s="72" t="s">
        <v>3</v>
      </c>
      <c r="C23" s="73" t="s">
        <v>72</v>
      </c>
      <c r="D23" s="72" t="str">
        <f>IF(C23&lt;&gt;"",VLOOKUP(C23,Preciario!$A$2:$D$66,2,FALSE),"")</f>
        <v>P3265LVE</v>
      </c>
      <c r="E23" s="73" t="str">
        <f>IF(C23&lt;&gt;"",VLOOKUP(C23,Preciario!$A$2:$D$66,3,FALSE),"")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23" s="24">
        <f>IF(C23&lt;&gt;"",VLOOKUP(C23,Preciario!$A$2:$D$66,4,FALSE),"")</f>
        <v>749</v>
      </c>
      <c r="G23" s="24">
        <f t="shared" si="0"/>
        <v>1498</v>
      </c>
      <c r="I23" s="16"/>
      <c r="J23" s="72" t="s">
        <v>3</v>
      </c>
      <c r="K23" s="15"/>
      <c r="L23" s="15"/>
      <c r="M23" s="15"/>
      <c r="N23" s="15"/>
      <c r="O23" s="7">
        <f t="shared" si="1"/>
        <v>0</v>
      </c>
    </row>
    <row r="24" spans="1:21" ht="62.5" x14ac:dyDescent="0.35">
      <c r="A24" s="71">
        <v>2</v>
      </c>
      <c r="B24" s="72" t="s">
        <v>3</v>
      </c>
      <c r="C24" s="73" t="s">
        <v>266</v>
      </c>
      <c r="D24" s="72" t="str">
        <f>IF(C24&lt;&gt;"",VLOOKUP(C24,Preciario!$A$2:$D$66,2,FALSE),"")</f>
        <v>T91B47</v>
      </c>
      <c r="E24" s="73" t="str">
        <f>IF(C24&lt;&gt;"",VLOOKUP(C24,Preciario!$A$2:$D$66,3,FALSE),"")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24" s="24">
        <f>IF(C24&lt;&gt;"",VLOOKUP(C24,Preciario!$A$2:$D$66,4,FALSE),"")</f>
        <v>89</v>
      </c>
      <c r="G24" s="24">
        <f t="shared" si="0"/>
        <v>178</v>
      </c>
      <c r="I24" s="16"/>
      <c r="J24" s="72" t="s">
        <v>3</v>
      </c>
      <c r="K24" s="15"/>
      <c r="L24" s="15"/>
      <c r="M24" s="15"/>
      <c r="N24" s="15"/>
      <c r="O24" s="7">
        <f t="shared" ref="O24" si="2">+N24*I24</f>
        <v>0</v>
      </c>
    </row>
    <row r="25" spans="1:21" x14ac:dyDescent="0.35">
      <c r="A25" s="71">
        <v>2</v>
      </c>
      <c r="B25" s="72" t="s">
        <v>3</v>
      </c>
      <c r="C25" s="73" t="s">
        <v>31</v>
      </c>
      <c r="D25" s="72" t="str">
        <f>IF(C25&lt;&gt;"",VLOOKUP(C25,Preciario!$A$2:$D$66,2,FALSE),"")</f>
        <v>LIC_CAM</v>
      </c>
      <c r="E25" s="73" t="str">
        <f>IF(C25&lt;&gt;"",VLOOKUP(C25,Preciario!$A$2:$D$66,3,FALSE),"")</f>
        <v xml:space="preserve">Licenciamiento de cámara en servidor </v>
      </c>
      <c r="F25" s="24">
        <f>IF(C25&lt;&gt;"",VLOOKUP(C25,Preciario!$A$2:$D$66,4,FALSE),"")</f>
        <v>159.05000000000001</v>
      </c>
      <c r="G25" s="24">
        <f t="shared" si="0"/>
        <v>318.10000000000002</v>
      </c>
      <c r="I25" s="16"/>
      <c r="J25" s="72" t="s">
        <v>3</v>
      </c>
      <c r="K25" s="15"/>
      <c r="L25" s="15"/>
      <c r="M25" s="15"/>
      <c r="N25" s="15"/>
      <c r="O25" s="7">
        <f t="shared" si="1"/>
        <v>0</v>
      </c>
    </row>
    <row r="26" spans="1:21" ht="37.5" x14ac:dyDescent="0.35">
      <c r="A26" s="71">
        <v>1</v>
      </c>
      <c r="B26" s="72" t="s">
        <v>3</v>
      </c>
      <c r="C26" s="73" t="s">
        <v>175</v>
      </c>
      <c r="D26" s="72" t="str">
        <f>IF(C26&lt;&gt;"",VLOOKUP(C26,Preciario!$A$2:$D$66,2,FALSE),"")</f>
        <v>AX_T8154</v>
      </c>
      <c r="E26" s="73" t="str">
        <f>IF(C26&lt;&gt;"",VLOOKUP(C26,Preciario!$A$2:$D$66,3,FALSE),"")</f>
        <v>Midspan SFP AXIS T8154 convertidor de medios, Plug and Play y con PoE. Fuente de alimentación integrada. Entrada de datos a través de SFP o RJ45. High PoE de 60 W.</v>
      </c>
      <c r="F26" s="24">
        <f>IF(C26&lt;&gt;"",VLOOKUP(C26,Preciario!$A$2:$D$66,4,FALSE),"")</f>
        <v>209</v>
      </c>
      <c r="G26" s="24">
        <f t="shared" si="0"/>
        <v>209</v>
      </c>
      <c r="I26" s="16"/>
      <c r="J26" s="72" t="s">
        <v>3</v>
      </c>
      <c r="K26" s="15"/>
      <c r="L26" s="15"/>
      <c r="M26" s="15"/>
      <c r="N26" s="15"/>
      <c r="O26" s="7">
        <f t="shared" si="1"/>
        <v>0</v>
      </c>
    </row>
    <row r="27" spans="1:21" ht="14.4" customHeight="1" x14ac:dyDescent="0.35">
      <c r="A27" s="71">
        <v>2</v>
      </c>
      <c r="B27" s="72" t="s">
        <v>3</v>
      </c>
      <c r="C27" s="73" t="s">
        <v>242</v>
      </c>
      <c r="D27" s="72" t="str">
        <f>IF(C27&lt;&gt;"",VLOOKUP(C27,Preciario!$A$2:$D$66,2,FALSE),"")</f>
        <v>MTB-TSR</v>
      </c>
      <c r="E27" s="73" t="str">
        <f>IF(C27&lt;&gt;"",VLOOKUP(C27,Preciario!$A$2:$D$66,3,FALSE),"")</f>
        <v>Módulo de fibra óptica 10GBASE-SR SFP+ de 1 puerto - 300 m (-40~75 grados C)</v>
      </c>
      <c r="F27" s="24">
        <f>IF(C27&lt;&gt;"",VLOOKUP(C27,Preciario!$A$2:$D$66,4,FALSE),"")</f>
        <v>105</v>
      </c>
      <c r="G27" s="24">
        <f t="shared" si="0"/>
        <v>210</v>
      </c>
      <c r="I27" s="16"/>
      <c r="J27" s="72" t="s">
        <v>3</v>
      </c>
      <c r="K27" s="15"/>
      <c r="L27" s="15"/>
      <c r="M27" s="15"/>
      <c r="N27" s="15"/>
      <c r="O27" s="7">
        <f t="shared" si="1"/>
        <v>0</v>
      </c>
    </row>
    <row r="28" spans="1:21" ht="150" x14ac:dyDescent="0.35">
      <c r="A28" s="71">
        <v>1</v>
      </c>
      <c r="B28" s="72" t="s">
        <v>3</v>
      </c>
      <c r="C28" s="73" t="s">
        <v>42</v>
      </c>
      <c r="D28" s="72" t="str">
        <f>IF(C28&lt;&gt;"",VLOOKUP(C28,Preciario!$A$2:$D$66,2,FALSE),"")</f>
        <v>AM60x40</v>
      </c>
      <c r="E28" s="73" t="str">
        <f>IF(C28&lt;&gt;"",VLOOKUP(C28,Preciario!$A$2:$D$66,3,FALSE),"")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28" s="24">
        <f>IF(C28&lt;&gt;"",VLOOKUP(C28,Preciario!$A$2:$D$66,4,FALSE),"")</f>
        <v>862.465236111114</v>
      </c>
      <c r="G28" s="24">
        <f t="shared" si="0"/>
        <v>862.465236111114</v>
      </c>
      <c r="I28" s="16"/>
      <c r="J28" s="72" t="s">
        <v>3</v>
      </c>
      <c r="K28" s="15"/>
      <c r="L28" s="15"/>
      <c r="M28" s="15"/>
      <c r="N28" s="15"/>
      <c r="O28" s="7">
        <f t="shared" si="1"/>
        <v>0</v>
      </c>
    </row>
    <row r="29" spans="1:21" ht="25" x14ac:dyDescent="0.35">
      <c r="A29" s="71">
        <v>50</v>
      </c>
      <c r="B29" s="72" t="s">
        <v>10</v>
      </c>
      <c r="C29" s="73" t="s">
        <v>273</v>
      </c>
      <c r="D29" s="72" t="str">
        <f>IF(C29&lt;&gt;"",VLOOKUP(C29,Preciario!$A$2:$D$66,2,FALSE),"")</f>
        <v>TUBAC32</v>
      </c>
      <c r="E29" s="73" t="str">
        <f>IF(C29&lt;&gt;"",VLOOKUP(C29,Preciario!$A$2:$D$66,3,FALSE),"")</f>
        <v>Suministro e instalación de tubo acero M32, p.p mano de obra y accesorios</v>
      </c>
      <c r="F29" s="24">
        <f>IF(C29&lt;&gt;"",VLOOKUP(C29,Preciario!$A$2:$D$66,4,FALSE),"")</f>
        <v>24.78</v>
      </c>
      <c r="G29" s="24">
        <f t="shared" si="0"/>
        <v>1239</v>
      </c>
      <c r="I29" s="16"/>
      <c r="J29" s="72" t="s">
        <v>10</v>
      </c>
      <c r="K29" s="15"/>
      <c r="L29" s="15"/>
      <c r="M29" s="15"/>
      <c r="N29" s="15"/>
      <c r="O29" s="7">
        <f t="shared" si="1"/>
        <v>0</v>
      </c>
    </row>
    <row r="30" spans="1:21" ht="25" x14ac:dyDescent="0.35">
      <c r="A30" s="71">
        <v>150</v>
      </c>
      <c r="B30" s="72" t="s">
        <v>10</v>
      </c>
      <c r="C30" s="73" t="s">
        <v>275</v>
      </c>
      <c r="D30" s="72" t="str">
        <f>IF(C30&lt;&gt;"",VLOOKUP(C30,Preciario!$A$2:$D$66,2,FALSE),"")</f>
        <v>C_ELE_3X2,5</v>
      </c>
      <c r="E30" s="73" t="str">
        <f>IF(C30&lt;&gt;"",VLOOKUP(C30,Preciario!$A$2:$D$66,3,FALSE),"")</f>
        <v>Suministro e instalación de manguera exterior RZ1-K 3x2,5mm</v>
      </c>
      <c r="F30" s="24">
        <f>IF(C30&lt;&gt;"",VLOOKUP(C30,Preciario!$A$2:$D$66,4,FALSE),"")</f>
        <v>4</v>
      </c>
      <c r="G30" s="24">
        <f t="shared" si="0"/>
        <v>600</v>
      </c>
      <c r="I30" s="16"/>
      <c r="J30" s="72" t="s">
        <v>10</v>
      </c>
      <c r="K30" s="15"/>
      <c r="L30" s="15"/>
      <c r="M30" s="15"/>
      <c r="N30" s="15"/>
      <c r="O30" s="7">
        <f t="shared" si="1"/>
        <v>0</v>
      </c>
    </row>
    <row r="31" spans="1:21" ht="62.5" x14ac:dyDescent="0.35">
      <c r="A31" s="71">
        <v>100</v>
      </c>
      <c r="B31" s="72" t="s">
        <v>10</v>
      </c>
      <c r="C31" s="73" t="s">
        <v>277</v>
      </c>
      <c r="D31" s="72" t="str">
        <f>IF(C31&lt;&gt;"",VLOOKUP(C31,Preciario!$A$2:$D$66,2,FALSE),"")</f>
        <v>FTP_CAT6A/CAT7</v>
      </c>
      <c r="E31" s="73" t="str">
        <f>IF(C31&lt;&gt;"",VLOOKUP(C31,Preciario!$A$2:$D$66,3,FALSE),"")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31" s="24">
        <f>IF(C31&lt;&gt;"",VLOOKUP(C31,Preciario!$A$2:$D$66,4,FALSE),"")</f>
        <v>4.8</v>
      </c>
      <c r="G31" s="24">
        <f t="shared" si="0"/>
        <v>480</v>
      </c>
      <c r="I31" s="16"/>
      <c r="J31" s="72" t="s">
        <v>10</v>
      </c>
      <c r="K31" s="15"/>
      <c r="L31" s="15"/>
      <c r="M31" s="15"/>
      <c r="N31" s="15"/>
      <c r="O31" s="7">
        <f t="shared" si="1"/>
        <v>0</v>
      </c>
    </row>
    <row r="32" spans="1:21" ht="50" x14ac:dyDescent="0.35">
      <c r="A32" s="71">
        <v>150</v>
      </c>
      <c r="B32" s="72" t="s">
        <v>10</v>
      </c>
      <c r="C32" s="73" t="s">
        <v>278</v>
      </c>
      <c r="D32" s="72" t="str">
        <f>IF(C32&lt;&gt;"",VLOOKUP(C32,Preciario!$A$2:$D$66,2,FALSE),"")</f>
        <v>FO_OS2</v>
      </c>
      <c r="E32" s="73" t="str">
        <f>IF(C32&lt;&gt;"",VLOOKUP(C32,Preciario!$A$2:$D$66,3,FALSE),"")</f>
        <v xml:space="preserve">Suministro e instalación de manguera de fibra óptica de exterior con cubierta de PE protección UV, malla-chapa antiroedor, CPR, 12 FO SM, de tipo OS2 pp. Conexionado fusiones y certificación </v>
      </c>
      <c r="F32" s="24">
        <f>IF(C32&lt;&gt;"",VLOOKUP(C32,Preciario!$A$2:$D$66,4,FALSE),"")</f>
        <v>5.2</v>
      </c>
      <c r="G32" s="24">
        <f t="shared" si="0"/>
        <v>780</v>
      </c>
      <c r="I32" s="16"/>
      <c r="J32" s="72" t="s">
        <v>10</v>
      </c>
      <c r="K32" s="15"/>
      <c r="L32" s="15"/>
      <c r="M32" s="15"/>
      <c r="N32" s="15"/>
      <c r="O32" s="7">
        <f t="shared" si="1"/>
        <v>0</v>
      </c>
    </row>
    <row r="33" spans="1:15" ht="75" x14ac:dyDescent="0.35">
      <c r="A33" s="71">
        <v>2</v>
      </c>
      <c r="B33" s="72" t="s">
        <v>3</v>
      </c>
      <c r="C33" s="73" t="s">
        <v>234</v>
      </c>
      <c r="D33" s="72" t="str">
        <f>IF(C33&lt;&gt;"",VLOOKUP(C33,Preciario!$A$2:$D$66,2,FALSE),"")</f>
        <v>ZPT606060</v>
      </c>
      <c r="E33" s="73" t="str">
        <f>IF(C33&lt;&gt;"",VLOOKUP(C33,Preciario!$A$2:$D$66,3,FALSE),"")</f>
        <v>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v>
      </c>
      <c r="F33" s="24">
        <f>IF(C33&lt;&gt;"",VLOOKUP(C33,Preciario!$A$2:$D$66,4,FALSE),"")</f>
        <v>226.5</v>
      </c>
      <c r="G33" s="24">
        <f t="shared" si="0"/>
        <v>453</v>
      </c>
      <c r="I33" s="16"/>
      <c r="J33" s="72" t="s">
        <v>3</v>
      </c>
      <c r="K33" s="15"/>
      <c r="L33" s="15"/>
      <c r="M33" s="15"/>
      <c r="N33" s="15"/>
      <c r="O33" s="7">
        <f t="shared" si="1"/>
        <v>0</v>
      </c>
    </row>
    <row r="34" spans="1:15" ht="25" x14ac:dyDescent="0.35">
      <c r="A34" s="71">
        <f>'Presupuesto Total'!D32</f>
        <v>1</v>
      </c>
      <c r="B34" s="72" t="s">
        <v>11</v>
      </c>
      <c r="C34" s="73" t="s">
        <v>163</v>
      </c>
      <c r="D34" s="158" t="s">
        <v>164</v>
      </c>
      <c r="E34" s="73" t="str">
        <f>IF(C34&lt;&gt;"",VLOOKUP(C34,Preciario!$A$2:$D$66,3,FALSE),"")</f>
        <v>Partida ayudas auxiliares en equipamiento y mano de obra en sistemas de energía</v>
      </c>
      <c r="F34" s="24">
        <v>412.85500000000002</v>
      </c>
      <c r="G34" s="24">
        <f t="shared" si="0"/>
        <v>412.85500000000002</v>
      </c>
      <c r="I34" s="16"/>
      <c r="J34" s="72" t="s">
        <v>11</v>
      </c>
      <c r="K34" s="15"/>
      <c r="L34" s="15"/>
      <c r="M34" s="15"/>
      <c r="N34" s="15"/>
      <c r="O34" s="7">
        <f t="shared" si="1"/>
        <v>0</v>
      </c>
    </row>
    <row r="35" spans="1:15" ht="25" x14ac:dyDescent="0.35">
      <c r="A35" s="71">
        <f>'Presupuesto Total'!D33</f>
        <v>1</v>
      </c>
      <c r="B35" s="72" t="s">
        <v>11</v>
      </c>
      <c r="C35" s="73" t="s">
        <v>185</v>
      </c>
      <c r="D35" s="72" t="s">
        <v>162</v>
      </c>
      <c r="E35" s="73" t="str">
        <f>IF(C35&lt;&gt;"",VLOOKUP(C35,Preciario!$A$2:$D$66,3,FALSE),"")</f>
        <v>Partida ayudas auxiliares en equipamiento y mano de obra en albañilería</v>
      </c>
      <c r="F35" s="24">
        <v>412.85500000000002</v>
      </c>
      <c r="G35" s="24">
        <f t="shared" si="0"/>
        <v>412.85500000000002</v>
      </c>
      <c r="I35" s="16"/>
      <c r="J35" s="72" t="s">
        <v>11</v>
      </c>
      <c r="K35" s="15"/>
      <c r="L35" s="15"/>
      <c r="M35" s="15"/>
      <c r="N35" s="15"/>
      <c r="O35" s="7">
        <f t="shared" si="1"/>
        <v>0</v>
      </c>
    </row>
    <row r="36" spans="1:15" x14ac:dyDescent="0.35">
      <c r="A36" s="8"/>
      <c r="B36" s="8"/>
      <c r="C36" s="9"/>
      <c r="D36" s="9"/>
      <c r="E36" s="9"/>
      <c r="F36" s="19" t="s">
        <v>4</v>
      </c>
      <c r="G36" s="20">
        <f>SUM(G22:G35)</f>
        <v>8313.2752361111125</v>
      </c>
      <c r="I36" s="8"/>
      <c r="J36" s="8"/>
      <c r="K36" s="9"/>
      <c r="L36" s="9"/>
      <c r="M36" s="9"/>
      <c r="N36" s="19" t="s">
        <v>4</v>
      </c>
      <c r="O36" s="20">
        <f>SUM(O22:O35)</f>
        <v>0</v>
      </c>
    </row>
    <row r="37" spans="1:15" x14ac:dyDescent="0.35">
      <c r="A37" s="10"/>
      <c r="B37" s="10"/>
      <c r="C37" s="11"/>
      <c r="D37" s="11"/>
      <c r="E37" s="11"/>
      <c r="F37" s="11"/>
      <c r="G37" s="11"/>
      <c r="I37" s="10"/>
      <c r="J37" s="10"/>
      <c r="K37" s="11"/>
      <c r="L37" s="11"/>
      <c r="M37" s="11"/>
      <c r="N37" s="11"/>
      <c r="O37" s="11"/>
    </row>
    <row r="38" spans="1:15" ht="14.4" customHeight="1" x14ac:dyDescent="0.35">
      <c r="A38" s="198" t="s">
        <v>70</v>
      </c>
      <c r="B38" s="199"/>
      <c r="C38" s="200"/>
      <c r="D38" s="4"/>
      <c r="E38" s="4"/>
      <c r="F38" s="4"/>
      <c r="G38" s="5"/>
      <c r="I38" s="198" t="s">
        <v>70</v>
      </c>
      <c r="J38" s="199"/>
      <c r="K38" s="200"/>
      <c r="L38" s="87"/>
      <c r="M38" s="87"/>
      <c r="N38" s="4"/>
      <c r="O38" s="4"/>
    </row>
    <row r="39" spans="1:15" x14ac:dyDescent="0.35">
      <c r="A39" s="197" t="s">
        <v>0</v>
      </c>
      <c r="B39" s="197"/>
      <c r="C39" s="12" t="s">
        <v>13</v>
      </c>
      <c r="D39" s="12" t="s">
        <v>14</v>
      </c>
      <c r="E39" s="12" t="s">
        <v>256</v>
      </c>
      <c r="F39" s="12" t="s">
        <v>2</v>
      </c>
      <c r="G39" s="13" t="s">
        <v>7</v>
      </c>
      <c r="I39" s="197" t="s">
        <v>0</v>
      </c>
      <c r="J39" s="197"/>
      <c r="K39" s="12" t="s">
        <v>13</v>
      </c>
      <c r="L39" s="12" t="s">
        <v>14</v>
      </c>
      <c r="M39" s="12" t="s">
        <v>256</v>
      </c>
      <c r="N39" s="12" t="s">
        <v>2</v>
      </c>
      <c r="O39" s="13" t="s">
        <v>7</v>
      </c>
    </row>
    <row r="40" spans="1:15" ht="25" x14ac:dyDescent="0.35">
      <c r="A40" s="71">
        <v>8</v>
      </c>
      <c r="B40" s="72" t="s">
        <v>3</v>
      </c>
      <c r="C40" s="73" t="s">
        <v>29</v>
      </c>
      <c r="D40" s="72" t="str">
        <f>IF(C40&lt;&gt;"",VLOOKUP(C40,Preciario!$A$2:$D$66,2,FALSE),"")</f>
        <v>BACULO</v>
      </c>
      <c r="E40" s="73" t="str">
        <f>IF(C40&lt;&gt;"",VLOOKUP(C40,Preciario!$A$2:$D$66,3,FALSE),"")</f>
        <v xml:space="preserve">Báculo de 4 metros de altura para la colocación de una cámara de videovigilancia. Incluye el soporte de suelo. </v>
      </c>
      <c r="F40" s="24">
        <f>IF(C40&lt;&gt;"",VLOOKUP(C40,Preciario!$A$2:$D$66,4,FALSE),"")</f>
        <v>330</v>
      </c>
      <c r="G40" s="24">
        <f t="shared" ref="G40:G61" si="3">A40*F40</f>
        <v>2640</v>
      </c>
      <c r="I40" s="16"/>
      <c r="J40" s="72" t="s">
        <v>3</v>
      </c>
      <c r="K40" s="15"/>
      <c r="L40" s="15"/>
      <c r="M40" s="15"/>
      <c r="N40" s="15"/>
      <c r="O40" s="7">
        <f t="shared" ref="O40:O61" si="4">+N40*I40</f>
        <v>0</v>
      </c>
    </row>
    <row r="41" spans="1:15" ht="125" x14ac:dyDescent="0.35">
      <c r="A41" s="71">
        <v>7</v>
      </c>
      <c r="B41" s="72" t="s">
        <v>3</v>
      </c>
      <c r="C41" s="73" t="s">
        <v>72</v>
      </c>
      <c r="D41" s="72" t="str">
        <f>IF(C41&lt;&gt;"",VLOOKUP(C41,Preciario!$A$2:$D$66,2,FALSE),"")</f>
        <v>P3265LVE</v>
      </c>
      <c r="E41" s="73" t="str">
        <f>IF(C41&lt;&gt;"",VLOOKUP(C41,Preciario!$A$2:$D$66,3,FALSE),"")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41" s="24">
        <f>IF(C41&lt;&gt;"",VLOOKUP(C41,Preciario!$A$2:$D$66,4,FALSE),"")</f>
        <v>749</v>
      </c>
      <c r="G41" s="24">
        <f t="shared" si="3"/>
        <v>5243</v>
      </c>
      <c r="I41" s="16"/>
      <c r="J41" s="72" t="s">
        <v>3</v>
      </c>
      <c r="K41" s="15"/>
      <c r="L41" s="15"/>
      <c r="M41" s="15"/>
      <c r="N41" s="15"/>
      <c r="O41" s="7">
        <f t="shared" si="4"/>
        <v>0</v>
      </c>
    </row>
    <row r="42" spans="1:15" ht="50" x14ac:dyDescent="0.35">
      <c r="A42" s="71">
        <v>5</v>
      </c>
      <c r="B42" s="72" t="s">
        <v>3</v>
      </c>
      <c r="C42" s="73" t="s">
        <v>73</v>
      </c>
      <c r="D42" s="72" t="str">
        <f>IF(C42&lt;&gt;"",VLOOKUP(C42,Preciario!$A$2:$D$66,2,FALSE),"")</f>
        <v>Q1951-E</v>
      </c>
      <c r="E42" s="73" t="str">
        <f>IF(C42&lt;&gt;"",VLOOKUP(C42,Preciario!$A$2:$D$66,3,FALSE),"")</f>
        <v>Suministro y montaje de cámara IP térmica de alta sensibilidad para uso exterior con sensor de 384x288, la imagen puede ampliarse hasta 768x576, soporte y adaptador para montaje en báculo.</v>
      </c>
      <c r="F42" s="24">
        <f>IF(C42&lt;&gt;"",VLOOKUP(C42,Preciario!$A$2:$D$66,4,FALSE),"")</f>
        <v>2999</v>
      </c>
      <c r="G42" s="24">
        <f t="shared" si="3"/>
        <v>14995</v>
      </c>
      <c r="I42" s="16"/>
      <c r="J42" s="72" t="s">
        <v>3</v>
      </c>
      <c r="K42" s="15"/>
      <c r="L42" s="15"/>
      <c r="M42" s="15"/>
      <c r="N42" s="15"/>
      <c r="O42" s="7">
        <f t="shared" si="4"/>
        <v>0</v>
      </c>
    </row>
    <row r="43" spans="1:15" ht="62.5" x14ac:dyDescent="0.35">
      <c r="A43" s="71">
        <v>12</v>
      </c>
      <c r="B43" s="72" t="s">
        <v>3</v>
      </c>
      <c r="C43" s="73" t="s">
        <v>266</v>
      </c>
      <c r="D43" s="72" t="str">
        <f>IF(C43&lt;&gt;"",VLOOKUP(C43,Preciario!$A$2:$D$66,2,FALSE),"")</f>
        <v>T91B47</v>
      </c>
      <c r="E43" s="73" t="str">
        <f>IF(C43&lt;&gt;"",VLOOKUP(C43,Preciario!$A$2:$D$66,3,FALSE),"")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43" s="24">
        <f>IF(C43&lt;&gt;"",VLOOKUP(C43,Preciario!$A$2:$D$66,4,FALSE),"")</f>
        <v>89</v>
      </c>
      <c r="G43" s="24">
        <f t="shared" si="3"/>
        <v>1068</v>
      </c>
      <c r="I43" s="16"/>
      <c r="J43" s="72" t="s">
        <v>3</v>
      </c>
      <c r="K43" s="15"/>
      <c r="L43" s="15"/>
      <c r="M43" s="15"/>
      <c r="N43" s="15"/>
      <c r="O43" s="7">
        <f t="shared" ref="O43" si="5">+N43*I43</f>
        <v>0</v>
      </c>
    </row>
    <row r="44" spans="1:15" x14ac:dyDescent="0.35">
      <c r="A44" s="71">
        <v>12</v>
      </c>
      <c r="B44" s="72" t="s">
        <v>3</v>
      </c>
      <c r="C44" s="73" t="s">
        <v>31</v>
      </c>
      <c r="D44" s="72" t="str">
        <f>IF(C44&lt;&gt;"",VLOOKUP(C44,Preciario!$A$2:$D$66,2,FALSE),"")</f>
        <v>LIC_CAM</v>
      </c>
      <c r="E44" s="73" t="str">
        <f>IF(C44&lt;&gt;"",VLOOKUP(C44,Preciario!$A$2:$D$66,3,FALSE),"")</f>
        <v xml:space="preserve">Licenciamiento de cámara en servidor </v>
      </c>
      <c r="F44" s="24">
        <f>IF(C44&lt;&gt;"",VLOOKUP(C44,Preciario!$A$2:$D$66,4,FALSE),"")</f>
        <v>159.05000000000001</v>
      </c>
      <c r="G44" s="24">
        <f t="shared" si="3"/>
        <v>1908.6000000000001</v>
      </c>
      <c r="I44" s="16"/>
      <c r="J44" s="72" t="s">
        <v>3</v>
      </c>
      <c r="K44" s="15"/>
      <c r="L44" s="15"/>
      <c r="M44" s="15"/>
      <c r="N44" s="15"/>
      <c r="O44" s="7">
        <f t="shared" si="4"/>
        <v>0</v>
      </c>
    </row>
    <row r="45" spans="1:15" ht="87.5" x14ac:dyDescent="0.35">
      <c r="A45" s="71">
        <v>6</v>
      </c>
      <c r="B45" s="72" t="s">
        <v>3</v>
      </c>
      <c r="C45" s="73" t="s">
        <v>190</v>
      </c>
      <c r="D45" s="72" t="str">
        <f>IF(C45&lt;&gt;"",VLOOKUP(C45,Preciario!$A$2:$D$66,2,FALSE),"")</f>
        <v>DE.3001</v>
      </c>
      <c r="E45" s="73" t="str">
        <f>IF(C45&lt;&gt;"",VLOOKUP(C45,Preciario!$A$2:$D$66,3,FALSE),"")</f>
        <v xml:space="preserve">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 Incluida instalación y configuración. </v>
      </c>
      <c r="F45" s="24">
        <f>IF(C45&lt;&gt;"",VLOOKUP(C45,Preciario!$A$2:$D$66,4,FALSE),"")</f>
        <v>392</v>
      </c>
      <c r="G45" s="24">
        <f t="shared" si="3"/>
        <v>2352</v>
      </c>
      <c r="I45" s="16"/>
      <c r="J45" s="72" t="s">
        <v>3</v>
      </c>
      <c r="K45" s="15"/>
      <c r="L45" s="15"/>
      <c r="M45" s="15"/>
      <c r="N45" s="15"/>
      <c r="O45" s="7">
        <f t="shared" si="4"/>
        <v>0</v>
      </c>
    </row>
    <row r="46" spans="1:15" ht="50" x14ac:dyDescent="0.35">
      <c r="A46" s="71">
        <v>6</v>
      </c>
      <c r="B46" s="72" t="s">
        <v>3</v>
      </c>
      <c r="C46" s="73" t="s">
        <v>189</v>
      </c>
      <c r="D46" s="72" t="str">
        <f>IF(C46&lt;&gt;"",VLOOKUP(C46,Preciario!$A$2:$D$66,2,FALSE),"")</f>
        <v>ACAP PER_DEF</v>
      </c>
      <c r="E46" s="73" t="str">
        <f>IF(C46&lt;&gt;"",VLOOKUP(C46,Preciario!$A$2:$D$66,3,FALSE),"")</f>
        <v xml:space="preserve">Licencia de unidad única para AXIS Perimeter Defender, una aplicación de análisis de video escalable y flexible para vigilancia y protección perimetral. Incluida instalación y configuración. </v>
      </c>
      <c r="F46" s="24">
        <f>IF(C46&lt;&gt;"",VLOOKUP(C46,Preciario!$A$2:$D$66,4,FALSE),"")</f>
        <v>299</v>
      </c>
      <c r="G46" s="24">
        <f t="shared" si="3"/>
        <v>1794</v>
      </c>
      <c r="I46" s="16"/>
      <c r="J46" s="72" t="s">
        <v>3</v>
      </c>
      <c r="K46" s="15"/>
      <c r="L46" s="15"/>
      <c r="M46" s="15"/>
      <c r="N46" s="15"/>
      <c r="O46" s="7">
        <f t="shared" si="4"/>
        <v>0</v>
      </c>
    </row>
    <row r="47" spans="1:15" ht="112.5" x14ac:dyDescent="0.35">
      <c r="A47" s="71">
        <v>4</v>
      </c>
      <c r="B47" s="72" t="s">
        <v>3</v>
      </c>
      <c r="C47" s="73" t="s">
        <v>236</v>
      </c>
      <c r="D47" s="72" t="str">
        <f>IF(C47&lt;&gt;"",VLOOKUP(C47,Preciario!$A$2:$D$66,2,FALSE),"")</f>
        <v>IGS-5225-8P2S2X</v>
      </c>
      <c r="E47" s="73" t="str">
        <f>IF(C47&lt;&gt;"",VLOOKUP(C47,Preciario!$A$2:$D$66,3,FALSE),"")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47" s="24">
        <f>IF(C47&lt;&gt;"",VLOOKUP(C47,Preciario!$A$2:$D$66,4,FALSE),"")</f>
        <v>957.6</v>
      </c>
      <c r="G47" s="24">
        <f t="shared" si="3"/>
        <v>3830.4</v>
      </c>
      <c r="I47" s="16"/>
      <c r="J47" s="72" t="s">
        <v>3</v>
      </c>
      <c r="K47" s="15"/>
      <c r="L47" s="15"/>
      <c r="M47" s="15"/>
      <c r="N47" s="15"/>
      <c r="O47" s="7">
        <f t="shared" si="4"/>
        <v>0</v>
      </c>
    </row>
    <row r="48" spans="1:15" ht="14.4" customHeight="1" x14ac:dyDescent="0.35">
      <c r="A48" s="71">
        <v>8</v>
      </c>
      <c r="B48" s="72" t="s">
        <v>3</v>
      </c>
      <c r="C48" s="73" t="s">
        <v>243</v>
      </c>
      <c r="D48" s="72" t="str">
        <f>IF(C48&lt;&gt;"",VLOOKUP(C48,Preciario!$A$2:$D$66,2,FALSE),"")</f>
        <v>MTB-TSR2</v>
      </c>
      <c r="E48" s="73" t="str">
        <f>IF(C48&lt;&gt;"",VLOOKUP(C48,Preciario!$A$2:$D$66,3,FALSE),"")</f>
        <v>Módulo de fibra óptica 10GBASE-LR SFP+ de 1 puerto: 2 km (-40~75 grados C)</v>
      </c>
      <c r="F48" s="24">
        <f>IF(C48&lt;&gt;"",VLOOKUP(C48,Preciario!$A$2:$D$66,4,FALSE),"")</f>
        <v>104</v>
      </c>
      <c r="G48" s="24">
        <f t="shared" si="3"/>
        <v>832</v>
      </c>
      <c r="I48" s="16"/>
      <c r="J48" s="72" t="s">
        <v>3</v>
      </c>
      <c r="K48" s="15"/>
      <c r="L48" s="15"/>
      <c r="M48" s="15"/>
      <c r="N48" s="15"/>
      <c r="O48" s="7">
        <f t="shared" si="4"/>
        <v>0</v>
      </c>
    </row>
    <row r="49" spans="1:15" ht="150" x14ac:dyDescent="0.35">
      <c r="A49" s="71">
        <v>4</v>
      </c>
      <c r="B49" s="72" t="s">
        <v>3</v>
      </c>
      <c r="C49" s="73" t="s">
        <v>42</v>
      </c>
      <c r="D49" s="72" t="str">
        <f>IF(C49&lt;&gt;"",VLOOKUP(C49,Preciario!$A$2:$D$66,2,FALSE),"")</f>
        <v>AM60x40</v>
      </c>
      <c r="E49" s="73" t="str">
        <f>IF(C49&lt;&gt;"",VLOOKUP(C49,Preciario!$A$2:$D$66,3,FALSE),"")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49" s="24">
        <f>IF(C49&lt;&gt;"",VLOOKUP(C49,Preciario!$A$2:$D$66,4,FALSE),"")</f>
        <v>862.465236111114</v>
      </c>
      <c r="G49" s="24">
        <f t="shared" si="3"/>
        <v>3449.860944444456</v>
      </c>
      <c r="I49" s="16"/>
      <c r="J49" s="72" t="s">
        <v>3</v>
      </c>
      <c r="K49" s="15"/>
      <c r="L49" s="15"/>
      <c r="M49" s="15"/>
      <c r="N49" s="15"/>
      <c r="O49" s="7">
        <f t="shared" si="4"/>
        <v>0</v>
      </c>
    </row>
    <row r="50" spans="1:15" ht="25" x14ac:dyDescent="0.35">
      <c r="A50" s="71">
        <v>125</v>
      </c>
      <c r="B50" s="72" t="s">
        <v>10</v>
      </c>
      <c r="C50" s="73" t="s">
        <v>273</v>
      </c>
      <c r="D50" s="72" t="str">
        <f>IF(C50&lt;&gt;"",VLOOKUP(C50,Preciario!$A$2:$D$66,2,FALSE),"")</f>
        <v>TUBAC32</v>
      </c>
      <c r="E50" s="73" t="str">
        <f>IF(C50&lt;&gt;"",VLOOKUP(C50,Preciario!$A$2:$D$66,3,FALSE),"")</f>
        <v>Suministro e instalación de tubo acero M32, p.p mano de obra y accesorios</v>
      </c>
      <c r="F50" s="24">
        <f>IF(C50&lt;&gt;"",VLOOKUP(C50,Preciario!$A$2:$D$66,4,FALSE),"")</f>
        <v>24.78</v>
      </c>
      <c r="G50" s="24">
        <f t="shared" si="3"/>
        <v>3097.5</v>
      </c>
      <c r="I50" s="16"/>
      <c r="J50" s="72" t="s">
        <v>10</v>
      </c>
      <c r="K50" s="15"/>
      <c r="L50" s="15"/>
      <c r="M50" s="15"/>
      <c r="N50" s="15"/>
      <c r="O50" s="7">
        <f t="shared" si="4"/>
        <v>0</v>
      </c>
    </row>
    <row r="51" spans="1:15" ht="25" x14ac:dyDescent="0.35">
      <c r="A51" s="71">
        <v>700</v>
      </c>
      <c r="B51" s="72" t="s">
        <v>10</v>
      </c>
      <c r="C51" s="73" t="s">
        <v>275</v>
      </c>
      <c r="D51" s="72" t="str">
        <f>IF(C51&lt;&gt;"",VLOOKUP(C51,Preciario!$A$2:$D$66,2,FALSE),"")</f>
        <v>C_ELE_3X2,5</v>
      </c>
      <c r="E51" s="73" t="str">
        <f>IF(C51&lt;&gt;"",VLOOKUP(C51,Preciario!$A$2:$D$66,3,FALSE),"")</f>
        <v>Suministro e instalación de manguera exterior RZ1-K 3x2,5mm</v>
      </c>
      <c r="F51" s="24">
        <f>IF(C51&lt;&gt;"",VLOOKUP(C51,Preciario!$A$2:$D$66,4,FALSE),"")</f>
        <v>4</v>
      </c>
      <c r="G51" s="24">
        <f t="shared" si="3"/>
        <v>2800</v>
      </c>
      <c r="I51" s="16"/>
      <c r="J51" s="72" t="s">
        <v>10</v>
      </c>
      <c r="K51" s="15"/>
      <c r="L51" s="15"/>
      <c r="M51" s="15"/>
      <c r="N51" s="15"/>
      <c r="O51" s="7">
        <f t="shared" si="4"/>
        <v>0</v>
      </c>
    </row>
    <row r="52" spans="1:15" ht="62.5" x14ac:dyDescent="0.35">
      <c r="A52" s="71">
        <v>300</v>
      </c>
      <c r="B52" s="72" t="s">
        <v>10</v>
      </c>
      <c r="C52" s="73" t="s">
        <v>277</v>
      </c>
      <c r="D52" s="72" t="str">
        <f>IF(C52&lt;&gt;"",VLOOKUP(C52,Preciario!$A$2:$D$66,2,FALSE),"")</f>
        <v>FTP_CAT6A/CAT7</v>
      </c>
      <c r="E52" s="73" t="str">
        <f>IF(C52&lt;&gt;"",VLOOKUP(C52,Preciario!$A$2:$D$66,3,FALSE),"")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52" s="24">
        <f>IF(C52&lt;&gt;"",VLOOKUP(C52,Preciario!$A$2:$D$66,4,FALSE),"")</f>
        <v>4.8</v>
      </c>
      <c r="G52" s="24">
        <f t="shared" si="3"/>
        <v>1440</v>
      </c>
      <c r="I52" s="16"/>
      <c r="J52" s="72" t="s">
        <v>10</v>
      </c>
      <c r="K52" s="15"/>
      <c r="L52" s="15"/>
      <c r="M52" s="15"/>
      <c r="N52" s="15"/>
      <c r="O52" s="7">
        <f t="shared" si="4"/>
        <v>0</v>
      </c>
    </row>
    <row r="53" spans="1:15" ht="50" x14ac:dyDescent="0.35">
      <c r="A53" s="71">
        <v>700</v>
      </c>
      <c r="B53" s="72" t="s">
        <v>10</v>
      </c>
      <c r="C53" s="73" t="s">
        <v>278</v>
      </c>
      <c r="D53" s="72" t="str">
        <f>IF(C53&lt;&gt;"",VLOOKUP(C53,Preciario!$A$2:$D$66,2,FALSE),"")</f>
        <v>FO_OS2</v>
      </c>
      <c r="E53" s="73" t="str">
        <f>IF(C53&lt;&gt;"",VLOOKUP(C53,Preciario!$A$2:$D$66,3,FALSE),"")</f>
        <v xml:space="preserve">Suministro e instalación de manguera de fibra óptica de exterior con cubierta de PE protección UV, malla-chapa antiroedor, CPR, 12 FO SM, de tipo OS2 pp. Conexionado fusiones y certificación </v>
      </c>
      <c r="F53" s="24">
        <f>IF(C53&lt;&gt;"",VLOOKUP(C53,Preciario!$A$2:$D$66,4,FALSE),"")</f>
        <v>5.2</v>
      </c>
      <c r="G53" s="24">
        <f t="shared" si="3"/>
        <v>3640</v>
      </c>
      <c r="I53" s="16"/>
      <c r="J53" s="72" t="s">
        <v>10</v>
      </c>
      <c r="K53" s="15"/>
      <c r="L53" s="15"/>
      <c r="M53" s="15"/>
      <c r="N53" s="15"/>
      <c r="O53" s="7">
        <f t="shared" si="4"/>
        <v>0</v>
      </c>
    </row>
    <row r="54" spans="1:15" ht="75" x14ac:dyDescent="0.35">
      <c r="A54" s="71">
        <v>8</v>
      </c>
      <c r="B54" s="72" t="s">
        <v>3</v>
      </c>
      <c r="C54" s="73" t="s">
        <v>234</v>
      </c>
      <c r="D54" s="72" t="str">
        <f>IF(C54&lt;&gt;"",VLOOKUP(C54,Preciario!$A$2:$D$66,2,FALSE),"")</f>
        <v>ZPT606060</v>
      </c>
      <c r="E54" s="73" t="str">
        <f>IF(C54&lt;&gt;"",VLOOKUP(C54,Preciario!$A$2:$D$66,3,FALSE),"")</f>
        <v>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v>
      </c>
      <c r="F54" s="24">
        <f>IF(C54&lt;&gt;"",VLOOKUP(C54,Preciario!$A$2:$D$66,4,FALSE),"")</f>
        <v>226.5</v>
      </c>
      <c r="G54" s="24">
        <f t="shared" si="3"/>
        <v>1812</v>
      </c>
      <c r="I54" s="16"/>
      <c r="J54" s="72" t="s">
        <v>3</v>
      </c>
      <c r="K54" s="15"/>
      <c r="L54" s="15"/>
      <c r="M54" s="15"/>
      <c r="N54" s="15"/>
      <c r="O54" s="7">
        <f t="shared" si="4"/>
        <v>0</v>
      </c>
    </row>
    <row r="55" spans="1:15" ht="75" x14ac:dyDescent="0.35">
      <c r="A55" s="71">
        <v>10</v>
      </c>
      <c r="B55" s="72" t="s">
        <v>10</v>
      </c>
      <c r="C55" s="73" t="s">
        <v>228</v>
      </c>
      <c r="D55" s="72" t="str">
        <f>IF(C55&lt;&gt;"",VLOOKUP(C55,Preciario!$A$2:$D$66,2,FALSE),"")</f>
        <v>Zanja</v>
      </c>
      <c r="E55" s="73" t="str">
        <f>IF(C55&lt;&gt;"",VLOOKUP(C55,Preciario!$A$2:$D$66,3,FALSE),"")</f>
        <v>Construcción de zanja, incluyendo la excavación, la carga y el transporte de las tierras a vertedero autorizado, el suministro y colocación de 4 tubos de PVC corrugado, para instalaciones, relleno de la misma con material recuperado, y acabado superficial con hormigón en masa o asfalto; i/ p.p.medios auxiliares.</v>
      </c>
      <c r="F55" s="24">
        <f>IF(C55&lt;&gt;"",VLOOKUP(C55,Preciario!$A$2:$D$66,4,FALSE),"")</f>
        <v>78.930000000000007</v>
      </c>
      <c r="G55" s="24">
        <f t="shared" si="3"/>
        <v>789.30000000000007</v>
      </c>
      <c r="I55" s="16"/>
      <c r="J55" s="72" t="s">
        <v>10</v>
      </c>
      <c r="K55" s="15"/>
      <c r="L55" s="15"/>
      <c r="M55" s="15"/>
      <c r="N55" s="15"/>
      <c r="O55" s="7">
        <f t="shared" si="4"/>
        <v>0</v>
      </c>
    </row>
    <row r="56" spans="1:15" ht="37.5" x14ac:dyDescent="0.35">
      <c r="A56" s="71">
        <v>2</v>
      </c>
      <c r="B56" s="72" t="s">
        <v>3</v>
      </c>
      <c r="C56" s="73" t="s">
        <v>233</v>
      </c>
      <c r="D56" s="72" t="str">
        <f>IF(C56&lt;&gt;"",VLOOKUP(C56,Preciario!$A$2:$D$66,2,FALSE),"")</f>
        <v>Arqueta</v>
      </c>
      <c r="E56" s="73" t="str">
        <f>IF(C56&lt;&gt;"",VLOOKUP(C56,Preciario!$A$2:$D$66,3,FALSE),"")</f>
        <v>Arqueta de registro construida a base de ladrillo macizo de 1/2 pie de espesor, enfoscada y bruñida interiormente, con tapa metálica con cerco y tirador.</v>
      </c>
      <c r="F56" s="24">
        <f>IF(C56&lt;&gt;"",VLOOKUP(C56,Preciario!$A$2:$D$66,4,FALSE),"")</f>
        <v>325.8</v>
      </c>
      <c r="G56" s="24">
        <f t="shared" si="3"/>
        <v>651.6</v>
      </c>
      <c r="I56" s="16"/>
      <c r="J56" s="72" t="s">
        <v>3</v>
      </c>
      <c r="K56" s="15"/>
      <c r="L56" s="15"/>
      <c r="M56" s="15"/>
      <c r="N56" s="15"/>
      <c r="O56" s="7">
        <f t="shared" si="4"/>
        <v>0</v>
      </c>
    </row>
    <row r="57" spans="1:15" ht="37.5" x14ac:dyDescent="0.35">
      <c r="A57" s="71">
        <v>1</v>
      </c>
      <c r="B57" s="72" t="s">
        <v>3</v>
      </c>
      <c r="C57" s="73" t="s">
        <v>286</v>
      </c>
      <c r="D57" s="72" t="str">
        <f>IF(C57&lt;&gt;"",VLOOKUP(C57,Preciario!$A$2:$D$66,2,FALSE),"")</f>
        <v>Río</v>
      </c>
      <c r="E57" s="73" t="str">
        <f>IF(C57&lt;&gt;"",VLOOKUP(C57,Preciario!$A$2:$D$66,3,FALSE),"")</f>
        <v>Módulo expansor de zonas, para ampliación de la capacidad de entradas de la central de intrusión ofertada. Incluida fuente de alimentación y batería</v>
      </c>
      <c r="F57" s="24">
        <f>IF(C57&lt;&gt;"",VLOOKUP(C57,Preciario!$A$2:$D$66,4,FALSE),"")</f>
        <v>350</v>
      </c>
      <c r="G57" s="24">
        <f t="shared" si="3"/>
        <v>350</v>
      </c>
      <c r="I57" s="16"/>
      <c r="J57" s="72" t="s">
        <v>3</v>
      </c>
      <c r="K57" s="15"/>
      <c r="L57" s="15"/>
      <c r="M57" s="15"/>
      <c r="N57" s="15"/>
      <c r="O57" s="7">
        <f t="shared" si="4"/>
        <v>0</v>
      </c>
    </row>
    <row r="58" spans="1:15" ht="112.4" customHeight="1" x14ac:dyDescent="0.35">
      <c r="A58" s="71">
        <v>1</v>
      </c>
      <c r="B58" s="72" t="s">
        <v>3</v>
      </c>
      <c r="C58" s="73" t="s">
        <v>289</v>
      </c>
      <c r="D58" s="72" t="str">
        <f>IF(C58&lt;&gt;"",VLOOKUP(C58,Preciario!$A$2:$D$66,2,FALSE),"")</f>
        <v>MOXA Iologik E1214</v>
      </c>
      <c r="E58" s="73" t="str">
        <f>IF(C58&lt;&gt;"",VLOOKUP(C58,Preciario!$A$2:$D$66,3,FALSE),"")</f>
        <v>Módulo de E/S digitales Ethernet. Seis puertos de entrada digital y 6 puertos de salida digital mediante Relé. Entradas digitales: 6 canales. Relés: 6 canales. Aislamiento: 3k VDC o 2k Vrms. Tipo de sensor: contacto húmedo (NPN o PNP), contacto seco. Modo I/O: DI o contador de eventos. Contacto seco: Encendido: corto a GND. Apagado: abierto. Contacto húmedo (DI a COM): Encendido: 10 a 30 VCC. Apagado: 0 a 3 VCC. Según características descritas en PPT.</v>
      </c>
      <c r="F58" s="24">
        <f>IF(C58&lt;&gt;"",VLOOKUP(C58,Preciario!$A$2:$D$66,4,FALSE),"")</f>
        <v>300</v>
      </c>
      <c r="G58" s="24">
        <f t="shared" si="3"/>
        <v>300</v>
      </c>
      <c r="H58" s="49"/>
      <c r="I58" s="16"/>
      <c r="J58" s="72" t="s">
        <v>3</v>
      </c>
      <c r="K58" s="15"/>
      <c r="L58" s="15"/>
      <c r="M58" s="15"/>
      <c r="N58" s="15"/>
      <c r="O58" s="7">
        <f t="shared" si="4"/>
        <v>0</v>
      </c>
    </row>
    <row r="59" spans="1:15" ht="25" x14ac:dyDescent="0.35">
      <c r="A59" s="71">
        <v>1</v>
      </c>
      <c r="B59" s="72" t="s">
        <v>11</v>
      </c>
      <c r="C59" s="73" t="s">
        <v>307</v>
      </c>
      <c r="D59" s="72" t="s">
        <v>164</v>
      </c>
      <c r="E59" s="73" t="str">
        <f>IF(C59&lt;&gt;"",VLOOKUP(C59,Preciario!$A$2:$D$66,3,FALSE),"")</f>
        <v>Partida de mano de obra para configuración módulos IO en abonado CRA</v>
      </c>
      <c r="F59" s="24">
        <v>175</v>
      </c>
      <c r="G59" s="24">
        <f t="shared" si="3"/>
        <v>175</v>
      </c>
      <c r="I59" s="16"/>
      <c r="J59" s="6" t="s">
        <v>11</v>
      </c>
      <c r="K59" s="15"/>
      <c r="L59" s="15"/>
      <c r="M59" s="15"/>
      <c r="N59" s="15"/>
      <c r="O59" s="7">
        <f t="shared" si="4"/>
        <v>0</v>
      </c>
    </row>
    <row r="60" spans="1:15" ht="25" x14ac:dyDescent="0.35">
      <c r="A60" s="71">
        <f>'Presupuesto Total'!D32</f>
        <v>1</v>
      </c>
      <c r="B60" s="72" t="s">
        <v>11</v>
      </c>
      <c r="C60" s="73" t="s">
        <v>163</v>
      </c>
      <c r="D60" s="72" t="s">
        <v>164</v>
      </c>
      <c r="E60" s="73" t="str">
        <f>IF(C60&lt;&gt;"",VLOOKUP(C60,Preciario!$A$2:$D$66,3,FALSE),"")</f>
        <v>Partida ayudas auxiliares en equipamiento y mano de obra en sistemas de energía</v>
      </c>
      <c r="F60" s="24">
        <v>2641.1450000000004</v>
      </c>
      <c r="G60" s="24">
        <f t="shared" si="3"/>
        <v>2641.1450000000004</v>
      </c>
      <c r="I60" s="16"/>
      <c r="J60" s="72" t="s">
        <v>11</v>
      </c>
      <c r="K60" s="15"/>
      <c r="L60" s="15"/>
      <c r="M60" s="15"/>
      <c r="N60" s="15"/>
      <c r="O60" s="7">
        <f t="shared" si="4"/>
        <v>0</v>
      </c>
    </row>
    <row r="61" spans="1:15" ht="25" x14ac:dyDescent="0.35">
      <c r="A61" s="71">
        <f>'Presupuesto Total'!D33</f>
        <v>1</v>
      </c>
      <c r="B61" s="72" t="s">
        <v>11</v>
      </c>
      <c r="C61" s="73" t="s">
        <v>185</v>
      </c>
      <c r="D61" s="72" t="s">
        <v>162</v>
      </c>
      <c r="E61" s="73" t="str">
        <f>IF(C61&lt;&gt;"",VLOOKUP(C61,Preciario!$A$2:$D$66,3,FALSE),"")</f>
        <v>Partida ayudas auxiliares en equipamiento y mano de obra en albañilería</v>
      </c>
      <c r="F61" s="24">
        <v>2641.1450000000004</v>
      </c>
      <c r="G61" s="24">
        <f t="shared" si="3"/>
        <v>2641.1450000000004</v>
      </c>
      <c r="I61" s="16"/>
      <c r="J61" s="72" t="s">
        <v>11</v>
      </c>
      <c r="K61" s="15"/>
      <c r="L61" s="15"/>
      <c r="M61" s="15"/>
      <c r="N61" s="15"/>
      <c r="O61" s="7">
        <f t="shared" si="4"/>
        <v>0</v>
      </c>
    </row>
    <row r="62" spans="1:15" x14ac:dyDescent="0.35">
      <c r="A62" s="8"/>
      <c r="B62" s="8"/>
      <c r="C62" s="9"/>
      <c r="D62" s="9"/>
      <c r="E62" s="9"/>
      <c r="F62" s="19" t="s">
        <v>4</v>
      </c>
      <c r="G62" s="20">
        <f>SUM(G40:G61)</f>
        <v>58450.550944444461</v>
      </c>
      <c r="I62" s="8"/>
      <c r="J62" s="8"/>
      <c r="K62" s="9"/>
      <c r="L62" s="9"/>
      <c r="M62" s="9"/>
      <c r="N62" s="19" t="s">
        <v>4</v>
      </c>
      <c r="O62" s="20">
        <f>SUM(O40:O61)</f>
        <v>0</v>
      </c>
    </row>
    <row r="63" spans="1:15" x14ac:dyDescent="0.35">
      <c r="A63" s="10"/>
      <c r="B63" s="10"/>
      <c r="C63" s="11"/>
      <c r="D63" s="11"/>
      <c r="E63" s="11"/>
      <c r="F63" s="11"/>
      <c r="G63" s="11"/>
      <c r="I63" s="10"/>
      <c r="J63" s="10"/>
      <c r="K63" s="11"/>
      <c r="L63" s="11"/>
      <c r="M63" s="11"/>
      <c r="N63" s="11"/>
      <c r="O63" s="11"/>
    </row>
    <row r="64" spans="1:15" ht="14.4" customHeight="1" x14ac:dyDescent="0.35">
      <c r="A64" s="198" t="s">
        <v>153</v>
      </c>
      <c r="B64" s="199"/>
      <c r="C64" s="200"/>
      <c r="D64" s="4"/>
      <c r="E64" s="4"/>
      <c r="F64" s="4"/>
      <c r="G64" s="5"/>
      <c r="I64" s="198" t="s">
        <v>153</v>
      </c>
      <c r="J64" s="199"/>
      <c r="K64" s="200"/>
      <c r="L64" s="87"/>
      <c r="M64" s="87"/>
      <c r="N64" s="4"/>
      <c r="O64" s="4"/>
    </row>
    <row r="65" spans="1:15" x14ac:dyDescent="0.35">
      <c r="A65" s="197" t="s">
        <v>0</v>
      </c>
      <c r="B65" s="197"/>
      <c r="C65" s="12" t="s">
        <v>13</v>
      </c>
      <c r="D65" s="12" t="s">
        <v>14</v>
      </c>
      <c r="E65" s="12" t="s">
        <v>256</v>
      </c>
      <c r="F65" s="12" t="s">
        <v>2</v>
      </c>
      <c r="G65" s="13" t="s">
        <v>7</v>
      </c>
      <c r="I65" s="197" t="s">
        <v>0</v>
      </c>
      <c r="J65" s="197"/>
      <c r="K65" s="12" t="s">
        <v>13</v>
      </c>
      <c r="L65" s="12" t="s">
        <v>14</v>
      </c>
      <c r="M65" s="12" t="s">
        <v>256</v>
      </c>
      <c r="N65" s="12" t="s">
        <v>2</v>
      </c>
      <c r="O65" s="13" t="s">
        <v>7</v>
      </c>
    </row>
    <row r="66" spans="1:15" ht="125" x14ac:dyDescent="0.35">
      <c r="A66" s="71">
        <v>8</v>
      </c>
      <c r="B66" s="72" t="s">
        <v>3</v>
      </c>
      <c r="C66" s="73" t="s">
        <v>72</v>
      </c>
      <c r="D66" s="72" t="str">
        <f>IF(C66&lt;&gt;"",VLOOKUP(C66,Preciario!$A$2:$D$66,2,FALSE),"")</f>
        <v>P3265LVE</v>
      </c>
      <c r="E66" s="73" t="str">
        <f>IF(C66&lt;&gt;"",VLOOKUP(C66,Preciario!$A$2:$D$66,3,FALSE),"")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66" s="24">
        <f>IF(C66&lt;&gt;"",VLOOKUP(C66,Preciario!$A$2:$D$66,4,FALSE),"")</f>
        <v>749</v>
      </c>
      <c r="G66" s="24">
        <f t="shared" ref="G66:G73" si="6">A66*F66</f>
        <v>5992</v>
      </c>
      <c r="I66" s="16"/>
      <c r="J66" s="72" t="s">
        <v>3</v>
      </c>
      <c r="K66" s="15"/>
      <c r="L66" s="15"/>
      <c r="M66" s="15"/>
      <c r="N66" s="15"/>
      <c r="O66" s="7">
        <f t="shared" ref="O66:O73" si="7">+N66*I66</f>
        <v>0</v>
      </c>
    </row>
    <row r="67" spans="1:15" ht="62.5" x14ac:dyDescent="0.35">
      <c r="A67" s="71">
        <v>8</v>
      </c>
      <c r="B67" s="72" t="s">
        <v>3</v>
      </c>
      <c r="C67" s="73" t="s">
        <v>266</v>
      </c>
      <c r="D67" s="72" t="str">
        <f>IF(C67&lt;&gt;"",VLOOKUP(C67,Preciario!$A$2:$D$66,2,FALSE),"")</f>
        <v>T91B47</v>
      </c>
      <c r="E67" s="73" t="str">
        <f>IF(C67&lt;&gt;"",VLOOKUP(C67,Preciario!$A$2:$D$66,3,FALSE),"")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67" s="24">
        <f>IF(C67&lt;&gt;"",VLOOKUP(C67,Preciario!$A$2:$D$66,4,FALSE),"")</f>
        <v>89</v>
      </c>
      <c r="G67" s="24">
        <f t="shared" si="6"/>
        <v>712</v>
      </c>
      <c r="I67" s="16"/>
      <c r="J67" s="72" t="s">
        <v>3</v>
      </c>
      <c r="K67" s="15"/>
      <c r="L67" s="15"/>
      <c r="M67" s="15"/>
      <c r="N67" s="15"/>
      <c r="O67" s="7">
        <f t="shared" ref="O67" si="8">+N67*I67</f>
        <v>0</v>
      </c>
    </row>
    <row r="68" spans="1:15" ht="25" x14ac:dyDescent="0.35">
      <c r="A68" s="71">
        <v>50</v>
      </c>
      <c r="B68" s="72" t="s">
        <v>10</v>
      </c>
      <c r="C68" s="73" t="s">
        <v>273</v>
      </c>
      <c r="D68" s="72" t="str">
        <f>IF(C68&lt;&gt;"",VLOOKUP(C68,Preciario!$A$2:$D$66,2,FALSE),"")</f>
        <v>TUBAC32</v>
      </c>
      <c r="E68" s="73" t="str">
        <f>IF(C68&lt;&gt;"",VLOOKUP(C68,Preciario!$A$2:$D$66,3,FALSE),"")</f>
        <v>Suministro e instalación de tubo acero M32, p.p mano de obra y accesorios</v>
      </c>
      <c r="F68" s="24">
        <f>IF(C68&lt;&gt;"",VLOOKUP(C68,Preciario!$A$2:$D$66,4,FALSE),"")</f>
        <v>24.78</v>
      </c>
      <c r="G68" s="24">
        <f t="shared" si="6"/>
        <v>1239</v>
      </c>
      <c r="I68" s="16"/>
      <c r="J68" s="72" t="s">
        <v>10</v>
      </c>
      <c r="K68" s="15"/>
      <c r="L68" s="15"/>
      <c r="M68" s="15"/>
      <c r="N68" s="15"/>
      <c r="O68" s="7">
        <f t="shared" si="7"/>
        <v>0</v>
      </c>
    </row>
    <row r="69" spans="1:15" ht="25" x14ac:dyDescent="0.35">
      <c r="A69" s="71">
        <v>500</v>
      </c>
      <c r="B69" s="72" t="s">
        <v>10</v>
      </c>
      <c r="C69" s="73" t="s">
        <v>275</v>
      </c>
      <c r="D69" s="72" t="str">
        <f>IF(C69&lt;&gt;"",VLOOKUP(C69,Preciario!$A$2:$D$66,2,FALSE),"")</f>
        <v>C_ELE_3X2,5</v>
      </c>
      <c r="E69" s="73" t="str">
        <f>IF(C69&lt;&gt;"",VLOOKUP(C69,Preciario!$A$2:$D$66,3,FALSE),"")</f>
        <v>Suministro e instalación de manguera exterior RZ1-K 3x2,5mm</v>
      </c>
      <c r="F69" s="24">
        <f>IF(C69&lt;&gt;"",VLOOKUP(C69,Preciario!$A$2:$D$66,4,FALSE),"")</f>
        <v>4</v>
      </c>
      <c r="G69" s="24">
        <f t="shared" si="6"/>
        <v>2000</v>
      </c>
      <c r="I69" s="16"/>
      <c r="J69" s="72" t="s">
        <v>10</v>
      </c>
      <c r="K69" s="15"/>
      <c r="L69" s="15"/>
      <c r="M69" s="15"/>
      <c r="N69" s="15"/>
      <c r="O69" s="7">
        <f t="shared" si="7"/>
        <v>0</v>
      </c>
    </row>
    <row r="70" spans="1:15" ht="62.5" x14ac:dyDescent="0.35">
      <c r="A70" s="71">
        <v>400</v>
      </c>
      <c r="B70" s="72" t="s">
        <v>10</v>
      </c>
      <c r="C70" s="73" t="s">
        <v>277</v>
      </c>
      <c r="D70" s="72" t="str">
        <f>IF(C70&lt;&gt;"",VLOOKUP(C70,Preciario!$A$2:$D$66,2,FALSE),"")</f>
        <v>FTP_CAT6A/CAT7</v>
      </c>
      <c r="E70" s="73" t="str">
        <f>IF(C70&lt;&gt;"",VLOOKUP(C70,Preciario!$A$2:$D$66,3,FALSE),"")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70" s="24">
        <f>IF(C70&lt;&gt;"",VLOOKUP(C70,Preciario!$A$2:$D$66,4,FALSE),"")</f>
        <v>4.8</v>
      </c>
      <c r="G70" s="24">
        <f t="shared" si="6"/>
        <v>1920</v>
      </c>
      <c r="I70" s="16"/>
      <c r="J70" s="72" t="s">
        <v>10</v>
      </c>
      <c r="K70" s="15"/>
      <c r="L70" s="15"/>
      <c r="M70" s="15"/>
      <c r="N70" s="15"/>
      <c r="O70" s="7">
        <f t="shared" si="7"/>
        <v>0</v>
      </c>
    </row>
    <row r="71" spans="1:15" ht="50" x14ac:dyDescent="0.35">
      <c r="A71" s="71">
        <v>500</v>
      </c>
      <c r="B71" s="72" t="s">
        <v>10</v>
      </c>
      <c r="C71" s="73" t="s">
        <v>278</v>
      </c>
      <c r="D71" s="72" t="str">
        <f>IF(C71&lt;&gt;"",VLOOKUP(C71,Preciario!$A$2:$D$66,2,FALSE),"")</f>
        <v>FO_OS2</v>
      </c>
      <c r="E71" s="73" t="str">
        <f>IF(C71&lt;&gt;"",VLOOKUP(C71,Preciario!$A$2:$D$66,3,FALSE),"")</f>
        <v xml:space="preserve">Suministro e instalación de manguera de fibra óptica de exterior con cubierta de PE protección UV, malla-chapa antiroedor, CPR, 12 FO SM, de tipo OS2 pp. Conexionado fusiones y certificación </v>
      </c>
      <c r="F71" s="24">
        <f>IF(C71&lt;&gt;"",VLOOKUP(C71,Preciario!$A$2:$D$66,4,FALSE),"")</f>
        <v>5.2</v>
      </c>
      <c r="G71" s="24">
        <f t="shared" si="6"/>
        <v>2600</v>
      </c>
      <c r="I71" s="16"/>
      <c r="J71" s="72" t="s">
        <v>10</v>
      </c>
      <c r="K71" s="15"/>
      <c r="L71" s="15"/>
      <c r="M71" s="15"/>
      <c r="N71" s="15"/>
      <c r="O71" s="7">
        <f t="shared" si="7"/>
        <v>0</v>
      </c>
    </row>
    <row r="72" spans="1:15" ht="25" x14ac:dyDescent="0.35">
      <c r="A72" s="71">
        <f>'Presupuesto Total'!D32</f>
        <v>1</v>
      </c>
      <c r="B72" s="72" t="s">
        <v>11</v>
      </c>
      <c r="C72" s="73" t="s">
        <v>163</v>
      </c>
      <c r="D72" s="72" t="s">
        <v>164</v>
      </c>
      <c r="E72" s="73" t="str">
        <f>IF(C72&lt;&gt;"",VLOOKUP(C72,Preciario!$A$2:$D$66,3,FALSE),"")</f>
        <v>Partida ayudas auxiliares en equipamiento y mano de obra en sistemas de energía</v>
      </c>
      <c r="F72" s="24">
        <v>786.77</v>
      </c>
      <c r="G72" s="24">
        <f t="shared" si="6"/>
        <v>786.77</v>
      </c>
      <c r="I72" s="16"/>
      <c r="J72" s="72" t="s">
        <v>11</v>
      </c>
      <c r="K72" s="15"/>
      <c r="L72" s="15"/>
      <c r="M72" s="15"/>
      <c r="N72" s="15"/>
      <c r="O72" s="7">
        <f t="shared" si="7"/>
        <v>0</v>
      </c>
    </row>
    <row r="73" spans="1:15" ht="25" x14ac:dyDescent="0.35">
      <c r="A73" s="71">
        <f>'Presupuesto Total'!D33</f>
        <v>1</v>
      </c>
      <c r="B73" s="72" t="s">
        <v>11</v>
      </c>
      <c r="C73" s="73" t="s">
        <v>185</v>
      </c>
      <c r="D73" s="72" t="s">
        <v>162</v>
      </c>
      <c r="E73" s="73" t="str">
        <f>IF(C73&lt;&gt;"",VLOOKUP(C73,Preciario!$A$2:$D$66,3,FALSE),"")</f>
        <v>Partida ayudas auxiliares en equipamiento y mano de obra en albañilería</v>
      </c>
      <c r="F73" s="24">
        <v>786.77</v>
      </c>
      <c r="G73" s="24">
        <f t="shared" si="6"/>
        <v>786.77</v>
      </c>
      <c r="I73" s="16"/>
      <c r="J73" s="72" t="s">
        <v>11</v>
      </c>
      <c r="K73" s="15"/>
      <c r="L73" s="15"/>
      <c r="M73" s="15"/>
      <c r="N73" s="15"/>
      <c r="O73" s="7">
        <f t="shared" si="7"/>
        <v>0</v>
      </c>
    </row>
    <row r="74" spans="1:15" x14ac:dyDescent="0.35">
      <c r="A74" s="8"/>
      <c r="B74" s="8"/>
      <c r="C74" s="9"/>
      <c r="D74" s="9"/>
      <c r="E74" s="9"/>
      <c r="F74" s="19" t="s">
        <v>4</v>
      </c>
      <c r="G74" s="20">
        <f>SUM(G66:G73)</f>
        <v>16036.54</v>
      </c>
      <c r="I74" s="8"/>
      <c r="J74" s="8"/>
      <c r="K74" s="9"/>
      <c r="L74" s="9"/>
      <c r="M74" s="9"/>
      <c r="N74" s="19" t="s">
        <v>4</v>
      </c>
      <c r="O74" s="20">
        <f>SUM(O66:O73)</f>
        <v>0</v>
      </c>
    </row>
    <row r="75" spans="1:15" x14ac:dyDescent="0.35">
      <c r="A75" s="10"/>
      <c r="B75" s="10"/>
      <c r="C75" s="11"/>
      <c r="D75" s="11"/>
      <c r="E75" s="11"/>
      <c r="F75" s="11"/>
      <c r="G75" s="11"/>
      <c r="I75" s="10"/>
      <c r="J75" s="10"/>
      <c r="K75" s="11"/>
      <c r="L75" s="11"/>
      <c r="M75" s="11"/>
      <c r="N75" s="11"/>
      <c r="O75" s="11"/>
    </row>
    <row r="76" spans="1:15" ht="14.4" customHeight="1" x14ac:dyDescent="0.35">
      <c r="A76" s="198" t="s">
        <v>194</v>
      </c>
      <c r="B76" s="199"/>
      <c r="C76" s="200"/>
      <c r="D76" s="4"/>
      <c r="E76" s="4"/>
      <c r="F76" s="4"/>
      <c r="G76" s="5"/>
      <c r="I76" s="198" t="s">
        <v>194</v>
      </c>
      <c r="J76" s="199"/>
      <c r="K76" s="200"/>
      <c r="L76" s="87"/>
      <c r="M76" s="87"/>
      <c r="N76" s="4"/>
      <c r="O76" s="4"/>
    </row>
    <row r="77" spans="1:15" x14ac:dyDescent="0.35">
      <c r="A77" s="197" t="s">
        <v>0</v>
      </c>
      <c r="B77" s="197"/>
      <c r="C77" s="12" t="s">
        <v>13</v>
      </c>
      <c r="D77" s="12" t="s">
        <v>14</v>
      </c>
      <c r="E77" s="12" t="s">
        <v>256</v>
      </c>
      <c r="F77" s="12" t="s">
        <v>2</v>
      </c>
      <c r="G77" s="13" t="s">
        <v>7</v>
      </c>
      <c r="I77" s="197" t="s">
        <v>0</v>
      </c>
      <c r="J77" s="197"/>
      <c r="K77" s="12" t="s">
        <v>13</v>
      </c>
      <c r="L77" s="12" t="s">
        <v>14</v>
      </c>
      <c r="M77" s="12" t="s">
        <v>256</v>
      </c>
      <c r="N77" s="12" t="s">
        <v>2</v>
      </c>
      <c r="O77" s="13" t="s">
        <v>7</v>
      </c>
    </row>
    <row r="78" spans="1:15" x14ac:dyDescent="0.35">
      <c r="A78" s="71">
        <v>4</v>
      </c>
      <c r="B78" s="72" t="s">
        <v>3</v>
      </c>
      <c r="C78" s="73" t="s">
        <v>213</v>
      </c>
      <c r="D78" s="72" t="str">
        <f>IF(C78&lt;&gt;"",VLOOKUP(C78,Preciario!$A$2:$D$66,2,FALSE),"")</f>
        <v>HDD14TB</v>
      </c>
      <c r="E78" s="73" t="str">
        <f>IF(C78&lt;&gt;"",VLOOKUP(C78,Preciario!$A$2:$D$66,3,FALSE),"")</f>
        <v>Disco duro SERVIDOR 14TB</v>
      </c>
      <c r="F78" s="24">
        <f>IF(C78&lt;&gt;"",VLOOKUP(C78,Preciario!$A$2:$D$66,4,FALSE),"")</f>
        <v>995.30000000000007</v>
      </c>
      <c r="G78" s="24">
        <f>A78*F78</f>
        <v>3981.2000000000003</v>
      </c>
      <c r="I78" s="16"/>
      <c r="J78" s="72" t="s">
        <v>3</v>
      </c>
      <c r="K78" s="15"/>
      <c r="L78" s="15"/>
      <c r="M78" s="15"/>
      <c r="N78" s="15"/>
      <c r="O78" s="7">
        <f t="shared" ref="O78:O80" si="9">+N78*I78</f>
        <v>0</v>
      </c>
    </row>
    <row r="79" spans="1:15" x14ac:dyDescent="0.35">
      <c r="A79" s="71">
        <v>1</v>
      </c>
      <c r="B79" s="72" t="s">
        <v>3</v>
      </c>
      <c r="C79" s="73" t="s">
        <v>218</v>
      </c>
      <c r="D79" s="72" t="str">
        <f>IF(C79&lt;&gt;"",VLOOKUP(C79,Preciario!$A$2:$D$66,2,FALSE),"")</f>
        <v>RAM8GB</v>
      </c>
      <c r="E79" s="73" t="str">
        <f>IF(C79&lt;&gt;"",VLOOKUP(C79,Preciario!$A$2:$D$66,3,FALSE),"")</f>
        <v>Memoría RAM 8GB</v>
      </c>
      <c r="F79" s="24">
        <f>IF(C79&lt;&gt;"",VLOOKUP(C79,Preciario!$A$2:$D$66,4,FALSE),"")</f>
        <v>51.800000000000004</v>
      </c>
      <c r="G79" s="24">
        <f>A79*F79</f>
        <v>51.800000000000004</v>
      </c>
      <c r="I79" s="16"/>
      <c r="J79" s="72" t="s">
        <v>3</v>
      </c>
      <c r="K79" s="15"/>
      <c r="L79" s="15"/>
      <c r="M79" s="15"/>
      <c r="N79" s="15"/>
      <c r="O79" s="7">
        <f t="shared" si="9"/>
        <v>0</v>
      </c>
    </row>
    <row r="80" spans="1:15" ht="12" customHeight="1" x14ac:dyDescent="0.35">
      <c r="A80" s="71">
        <v>1</v>
      </c>
      <c r="B80" s="72" t="s">
        <v>11</v>
      </c>
      <c r="C80" s="73" t="s">
        <v>207</v>
      </c>
      <c r="D80" s="72" t="s">
        <v>208</v>
      </c>
      <c r="E80" s="73" t="s">
        <v>207</v>
      </c>
      <c r="F80" s="24">
        <v>159.5625</v>
      </c>
      <c r="G80" s="24">
        <f>A80*F80</f>
        <v>159.5625</v>
      </c>
      <c r="I80" s="16"/>
      <c r="J80" s="72" t="s">
        <v>11</v>
      </c>
      <c r="K80" s="15"/>
      <c r="L80" s="15"/>
      <c r="M80" s="15"/>
      <c r="N80" s="15"/>
      <c r="O80" s="7">
        <f t="shared" si="9"/>
        <v>0</v>
      </c>
    </row>
    <row r="81" spans="1:15" x14ac:dyDescent="0.35">
      <c r="A81" s="8"/>
      <c r="B81" s="8"/>
      <c r="C81" s="9"/>
      <c r="D81" s="9"/>
      <c r="E81" s="9"/>
      <c r="F81" s="19" t="s">
        <v>4</v>
      </c>
      <c r="G81" s="20">
        <f>SUM(G78:G80)</f>
        <v>4192.5625</v>
      </c>
      <c r="I81" s="8"/>
      <c r="J81" s="8"/>
      <c r="K81" s="9"/>
      <c r="L81" s="9"/>
      <c r="M81" s="9"/>
      <c r="N81" s="19" t="s">
        <v>4</v>
      </c>
      <c r="O81" s="20">
        <f>SUM(O78:O80)</f>
        <v>0</v>
      </c>
    </row>
    <row r="82" spans="1:15" x14ac:dyDescent="0.35">
      <c r="A82" s="10"/>
      <c r="B82" s="10"/>
      <c r="C82" s="11"/>
      <c r="D82" s="11"/>
      <c r="E82" s="11"/>
      <c r="F82" s="11"/>
      <c r="G82" s="11"/>
      <c r="I82" s="10"/>
      <c r="J82" s="10"/>
      <c r="K82" s="11"/>
      <c r="L82" s="11"/>
      <c r="M82" s="11"/>
      <c r="N82" s="11"/>
      <c r="O82" s="11"/>
    </row>
    <row r="83" spans="1:15" ht="27" customHeight="1" x14ac:dyDescent="0.35">
      <c r="A83" s="194" t="s">
        <v>106</v>
      </c>
      <c r="B83" s="195"/>
      <c r="C83" s="195"/>
      <c r="D83" s="195"/>
      <c r="E83" s="195"/>
      <c r="F83" s="196"/>
      <c r="G83" s="22">
        <f>G36+G62+G74+G81</f>
        <v>86992.928680555575</v>
      </c>
      <c r="I83" s="194" t="s">
        <v>106</v>
      </c>
      <c r="J83" s="195"/>
      <c r="K83" s="195"/>
      <c r="L83" s="195"/>
      <c r="M83" s="195"/>
      <c r="N83" s="196"/>
      <c r="O83" s="25">
        <f>O36+O62+O74+O81</f>
        <v>0</v>
      </c>
    </row>
  </sheetData>
  <sheetProtection algorithmName="SHA-512" hashValue="doqmaggkvB46/qKPQC+1+bBHck2FgLf7LxyZj9I3nIYNUIsUqIpBu3f9JPG5Vsn+9kFU1LRMmUBPrEyBYhc7PQ==" saltValue="JvwdO1Dxdnml5pfk1IgMrQ==" spinCount="100000" sheet="1" selectLockedCells="1"/>
  <mergeCells count="21">
    <mergeCell ref="I77:J77"/>
    <mergeCell ref="A83:F83"/>
    <mergeCell ref="I83:N83"/>
    <mergeCell ref="A21:B21"/>
    <mergeCell ref="I21:J21"/>
    <mergeCell ref="A64:C64"/>
    <mergeCell ref="I64:K64"/>
    <mergeCell ref="A65:B65"/>
    <mergeCell ref="I65:J65"/>
    <mergeCell ref="A76:C76"/>
    <mergeCell ref="I76:K76"/>
    <mergeCell ref="A77:B77"/>
    <mergeCell ref="D3:K6"/>
    <mergeCell ref="A38:C38"/>
    <mergeCell ref="I38:K38"/>
    <mergeCell ref="A39:B39"/>
    <mergeCell ref="I39:J39"/>
    <mergeCell ref="A9:O9"/>
    <mergeCell ref="C11:D11"/>
    <mergeCell ref="K11:L11"/>
    <mergeCell ref="A20:C20"/>
  </mergeCells>
  <dataValidations count="3">
    <dataValidation type="decimal" allowBlank="1" showErrorMessage="1" error="Introducir Precio Unitario" sqref="N64 N74 N76 N36:N38 N62 N81" xr:uid="{AE965A70-470D-4F7C-AA4A-72108F2C09B9}">
      <formula1>1</formula1>
      <formula2>100000</formula2>
    </dataValidation>
    <dataValidation type="decimal" allowBlank="1" showInputMessage="1" showErrorMessage="1" error="Introducir Precio Unitario" sqref="N21 N65 N39 N77 F77 F65 F39 F21" xr:uid="{B431A2CC-4F7F-473D-B881-36DF9B0FD6C7}">
      <formula1>1</formula1>
      <formula2>100000</formula2>
    </dataValidation>
    <dataValidation type="whole" allowBlank="1" showInputMessage="1" showErrorMessage="1" error="Introducir Unidades" sqref="I74 I39 A21 A77 A65 A39 I36:I37 I62 I21 I65 I77 I81" xr:uid="{E3338BFC-FB26-4959-80D0-397FC3265778}">
      <formula1>1</formula1>
      <formula2>1000</formula2>
    </dataValidation>
  </dataValidations>
  <hyperlinks>
    <hyperlink ref="H11" location="'Presupuesto Total'!A1" display="ÍNDICE" xr:uid="{01E7CE8F-6FC9-4D7C-A1E9-D592E833BED6}"/>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A0951-29B3-44B8-9304-31AE7A008924}">
  <dimension ref="A3:U63"/>
  <sheetViews>
    <sheetView showGridLines="0" tabSelected="1" topLeftCell="A49" zoomScale="70" zoomScaleNormal="70" workbookViewId="0">
      <selection activeCell="I51" sqref="I51"/>
    </sheetView>
  </sheetViews>
  <sheetFormatPr baseColWidth="10" defaultColWidth="11.54296875" defaultRowHeight="14.5" x14ac:dyDescent="0.35"/>
  <cols>
    <col min="1" max="1" width="8.08984375" style="1" bestFit="1" customWidth="1"/>
    <col min="2" max="2" width="3" style="1" bestFit="1" customWidth="1"/>
    <col min="3" max="3" width="49.54296875" style="1" customWidth="1"/>
    <col min="4" max="4" width="18.90625" style="1" customWidth="1"/>
    <col min="5" max="5" width="51.08984375" style="1" customWidth="1"/>
    <col min="6" max="6" width="13.54296875" style="1" bestFit="1" customWidth="1"/>
    <col min="7" max="7" width="14.90625" style="1" bestFit="1" customWidth="1"/>
    <col min="8" max="9" width="11.54296875" style="1"/>
    <col min="10" max="10" width="3" style="1" bestFit="1" customWidth="1"/>
    <col min="11" max="11" width="48.90625" style="1" bestFit="1" customWidth="1"/>
    <col min="12" max="12" width="19.453125" style="1" bestFit="1" customWidth="1"/>
    <col min="13" max="13" width="22.453125" style="1" customWidth="1"/>
    <col min="14" max="14" width="16" style="1" bestFit="1" customWidth="1"/>
    <col min="15" max="15" width="14.453125" style="1" bestFit="1" customWidth="1"/>
    <col min="16" max="16384" width="11.54296875" style="1"/>
  </cols>
  <sheetData>
    <row r="3" spans="1:21" ht="14.4" customHeight="1" x14ac:dyDescent="0.35">
      <c r="D3" s="201" t="s">
        <v>107</v>
      </c>
      <c r="E3" s="202"/>
      <c r="F3" s="202"/>
      <c r="G3" s="202"/>
      <c r="H3" s="202"/>
      <c r="I3" s="202"/>
      <c r="J3" s="202"/>
      <c r="K3" s="202"/>
      <c r="N3" s="23"/>
    </row>
    <row r="4" spans="1:21" ht="14.4" customHeight="1" x14ac:dyDescent="0.35">
      <c r="D4" s="201"/>
      <c r="E4" s="202"/>
      <c r="F4" s="202"/>
      <c r="G4" s="202"/>
      <c r="H4" s="202"/>
      <c r="I4" s="202"/>
      <c r="J4" s="202"/>
      <c r="K4" s="202"/>
      <c r="N4" s="23"/>
    </row>
    <row r="5" spans="1:21" ht="14.4" customHeight="1" x14ac:dyDescent="0.35">
      <c r="D5" s="201"/>
      <c r="E5" s="202"/>
      <c r="F5" s="202"/>
      <c r="G5" s="202"/>
      <c r="H5" s="202"/>
      <c r="I5" s="202"/>
      <c r="J5" s="202"/>
      <c r="K5" s="202"/>
      <c r="N5" s="23"/>
    </row>
    <row r="6" spans="1:21" ht="14.4" customHeight="1" x14ac:dyDescent="0.35">
      <c r="D6" s="201"/>
      <c r="E6" s="202"/>
      <c r="F6" s="202"/>
      <c r="G6" s="202"/>
      <c r="H6" s="202"/>
      <c r="I6" s="202"/>
      <c r="J6" s="202"/>
      <c r="K6" s="202"/>
      <c r="N6" s="23"/>
    </row>
    <row r="7" spans="1:21" ht="14.4" customHeight="1" x14ac:dyDescent="0.35">
      <c r="N7" s="23"/>
    </row>
    <row r="8" spans="1:21" ht="14.4" customHeight="1" x14ac:dyDescent="0.35">
      <c r="N8" s="23"/>
    </row>
    <row r="9" spans="1:21" ht="17.5" x14ac:dyDescent="0.35">
      <c r="A9" s="203"/>
      <c r="B9" s="203"/>
      <c r="C9" s="203"/>
      <c r="D9" s="203"/>
      <c r="E9" s="203"/>
      <c r="F9" s="203"/>
      <c r="G9" s="203"/>
      <c r="H9" s="203"/>
      <c r="I9" s="203"/>
      <c r="J9" s="203"/>
      <c r="K9" s="203"/>
      <c r="L9" s="203"/>
      <c r="M9" s="203"/>
      <c r="N9" s="203"/>
      <c r="O9" s="203"/>
    </row>
    <row r="10" spans="1:21" ht="15" thickBot="1" x14ac:dyDescent="0.4"/>
    <row r="11" spans="1:21" customFormat="1" ht="23.15" customHeight="1" thickBot="1" x14ac:dyDescent="0.4">
      <c r="C11" s="204" t="s">
        <v>16</v>
      </c>
      <c r="D11" s="205"/>
      <c r="E11" s="81"/>
      <c r="H11" s="45" t="s">
        <v>154</v>
      </c>
      <c r="I11" s="1"/>
      <c r="J11" s="1"/>
      <c r="K11" s="204" t="s">
        <v>15</v>
      </c>
      <c r="L11" s="205"/>
      <c r="M11" s="81"/>
      <c r="N11" s="1"/>
      <c r="O11" s="1"/>
      <c r="Q11" s="1"/>
      <c r="R11" s="1"/>
      <c r="S11" s="1"/>
      <c r="T11" s="1"/>
      <c r="U11" s="1"/>
    </row>
    <row r="12" spans="1:21" customFormat="1" x14ac:dyDescent="0.35">
      <c r="C12" s="1"/>
      <c r="D12" s="1"/>
      <c r="E12" s="82"/>
      <c r="F12" s="1"/>
      <c r="G12" s="1"/>
      <c r="I12" s="1"/>
      <c r="J12" s="1"/>
      <c r="K12" s="1"/>
      <c r="L12" s="1"/>
      <c r="M12" s="82"/>
      <c r="N12" s="1"/>
      <c r="O12" s="1"/>
      <c r="Q12" s="1"/>
      <c r="R12" s="1"/>
      <c r="S12" s="1"/>
      <c r="T12" s="1"/>
      <c r="U12" s="1"/>
    </row>
    <row r="13" spans="1:21" customFormat="1" ht="26" x14ac:dyDescent="0.35">
      <c r="C13" s="14" t="s">
        <v>108</v>
      </c>
      <c r="D13" s="14" t="s">
        <v>7</v>
      </c>
      <c r="E13" s="83"/>
      <c r="F13" s="1"/>
      <c r="G13" s="1"/>
      <c r="I13" s="1"/>
      <c r="J13" s="1"/>
      <c r="K13" s="14" t="s">
        <v>108</v>
      </c>
      <c r="L13" s="14" t="s">
        <v>17</v>
      </c>
      <c r="M13" s="83"/>
      <c r="N13" s="1"/>
      <c r="O13" s="1"/>
      <c r="Q13" s="1"/>
      <c r="R13" s="1"/>
      <c r="S13" s="1"/>
      <c r="T13" s="1"/>
      <c r="U13" s="1"/>
    </row>
    <row r="14" spans="1:21" customFormat="1" x14ac:dyDescent="0.35">
      <c r="C14" s="17" t="str">
        <f>A19</f>
        <v>1.- ATR</v>
      </c>
      <c r="D14" s="2">
        <f>G28</f>
        <v>4190.01</v>
      </c>
      <c r="E14" s="61"/>
      <c r="F14" s="1"/>
      <c r="G14" s="1"/>
      <c r="I14" s="1"/>
      <c r="J14" s="1"/>
      <c r="K14" s="17" t="str">
        <f>I19</f>
        <v>1.- ATR</v>
      </c>
      <c r="L14" s="2">
        <f>O28</f>
        <v>0</v>
      </c>
      <c r="M14" s="61"/>
      <c r="N14" s="1"/>
      <c r="O14" s="1"/>
      <c r="Q14" s="1"/>
      <c r="R14" s="1"/>
      <c r="S14" s="1"/>
      <c r="T14" s="1"/>
      <c r="U14" s="1"/>
    </row>
    <row r="15" spans="1:21" customFormat="1" x14ac:dyDescent="0.35">
      <c r="C15" s="17" t="str">
        <f>A30</f>
        <v>2.- PERÍMETRO</v>
      </c>
      <c r="D15" s="3">
        <f>G53</f>
        <v>62335.045708333339</v>
      </c>
      <c r="E15" s="62"/>
      <c r="F15" s="1"/>
      <c r="G15" s="1"/>
      <c r="I15" s="1"/>
      <c r="J15" s="1"/>
      <c r="K15" s="17" t="str">
        <f>I30</f>
        <v>2.- PERÍMETRO</v>
      </c>
      <c r="L15" s="3">
        <f>O53</f>
        <v>0</v>
      </c>
      <c r="M15" s="62"/>
      <c r="N15" s="1"/>
      <c r="O15" s="1"/>
      <c r="Q15" s="1"/>
      <c r="R15" s="1"/>
      <c r="S15" s="1"/>
      <c r="T15" s="1"/>
      <c r="U15" s="1"/>
    </row>
    <row r="16" spans="1:21" customFormat="1" x14ac:dyDescent="0.35">
      <c r="C16" s="17" t="str">
        <f>A55</f>
        <v>3.- ACTUALIZACIÓN GRABADORES</v>
      </c>
      <c r="D16" s="3">
        <f>G61</f>
        <v>3723.125</v>
      </c>
      <c r="E16" s="62"/>
      <c r="F16" s="1"/>
      <c r="G16" s="1"/>
      <c r="I16" s="1"/>
      <c r="J16" s="1"/>
      <c r="K16" s="17" t="str">
        <f>I55</f>
        <v>3.- ACTUALIZACIÓN GRABADORES</v>
      </c>
      <c r="L16" s="3">
        <f>O61</f>
        <v>0</v>
      </c>
      <c r="M16" s="62"/>
      <c r="N16" s="1"/>
      <c r="O16" s="1"/>
      <c r="Q16" s="1"/>
      <c r="R16" s="1"/>
      <c r="S16" s="1"/>
      <c r="T16" s="1"/>
      <c r="U16" s="1"/>
    </row>
    <row r="17" spans="1:21" customFormat="1" ht="15.5" x14ac:dyDescent="0.35">
      <c r="C17" s="18" t="s">
        <v>8</v>
      </c>
      <c r="D17" s="21">
        <f>+SUM(D14:D16)</f>
        <v>70248.180708333341</v>
      </c>
      <c r="E17" s="63"/>
      <c r="F17" s="1"/>
      <c r="G17" s="1"/>
      <c r="I17" s="1"/>
      <c r="J17" s="1"/>
      <c r="K17" s="18" t="s">
        <v>8</v>
      </c>
      <c r="L17" s="21">
        <f>+SUM(L14:L16)</f>
        <v>0</v>
      </c>
      <c r="M17" s="63"/>
      <c r="N17" s="1"/>
      <c r="O17" s="1"/>
      <c r="Q17" s="1"/>
      <c r="R17" s="1"/>
      <c r="S17" s="1"/>
      <c r="T17" s="1"/>
      <c r="U17" s="1"/>
    </row>
    <row r="19" spans="1:21" ht="14.4" customHeight="1" x14ac:dyDescent="0.35">
      <c r="A19" s="198" t="s">
        <v>69</v>
      </c>
      <c r="B19" s="199"/>
      <c r="C19" s="200"/>
      <c r="D19" s="4"/>
      <c r="E19" s="4"/>
      <c r="F19" s="4"/>
      <c r="G19" s="5"/>
      <c r="I19" s="198" t="s">
        <v>69</v>
      </c>
      <c r="J19" s="199"/>
      <c r="K19" s="200"/>
      <c r="L19" s="87"/>
      <c r="M19" s="87"/>
      <c r="N19" s="4"/>
      <c r="O19" s="4"/>
    </row>
    <row r="20" spans="1:21" x14ac:dyDescent="0.35">
      <c r="A20" s="197" t="s">
        <v>0</v>
      </c>
      <c r="B20" s="197"/>
      <c r="C20" s="12" t="s">
        <v>13</v>
      </c>
      <c r="D20" s="12" t="s">
        <v>14</v>
      </c>
      <c r="E20" s="12" t="s">
        <v>256</v>
      </c>
      <c r="F20" s="12" t="s">
        <v>2</v>
      </c>
      <c r="G20" s="13" t="s">
        <v>7</v>
      </c>
      <c r="I20" s="197" t="s">
        <v>0</v>
      </c>
      <c r="J20" s="197"/>
      <c r="K20" s="12" t="s">
        <v>13</v>
      </c>
      <c r="L20" s="12" t="s">
        <v>14</v>
      </c>
      <c r="M20" s="12" t="s">
        <v>256</v>
      </c>
      <c r="N20" s="12" t="s">
        <v>2</v>
      </c>
      <c r="O20" s="13" t="s">
        <v>7</v>
      </c>
    </row>
    <row r="21" spans="1:21" ht="125" x14ac:dyDescent="0.35">
      <c r="A21" s="71">
        <v>2</v>
      </c>
      <c r="B21" s="72" t="s">
        <v>3</v>
      </c>
      <c r="C21" s="73" t="s">
        <v>72</v>
      </c>
      <c r="D21" s="72" t="str">
        <f>IF(C21&lt;&gt;"",VLOOKUP(C21,Preciario!$A$2:$D$66,2,FALSE),"")</f>
        <v>P3265LVE</v>
      </c>
      <c r="E21" s="73" t="str">
        <f>IF(C21&lt;&gt;"",VLOOKUP(C21,Preciario!$A$2:$D$66,3,FALSE),"")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21" s="24">
        <f>IF(C21&lt;&gt;"",VLOOKUP(C21,Preciario!$A$2:$D$66,4,FALSE),"")</f>
        <v>749</v>
      </c>
      <c r="G21" s="24">
        <f t="shared" ref="G21:G27" si="0">A21*F21</f>
        <v>1498</v>
      </c>
      <c r="I21" s="16"/>
      <c r="J21" s="6" t="s">
        <v>3</v>
      </c>
      <c r="K21" s="15"/>
      <c r="L21" s="15"/>
      <c r="M21" s="15"/>
      <c r="N21" s="15"/>
      <c r="O21" s="7">
        <f t="shared" ref="O21:O27" si="1">+N21*I21</f>
        <v>0</v>
      </c>
    </row>
    <row r="22" spans="1:21" ht="62.5" x14ac:dyDescent="0.35">
      <c r="A22" s="71">
        <v>2</v>
      </c>
      <c r="B22" s="72" t="s">
        <v>3</v>
      </c>
      <c r="C22" s="73" t="s">
        <v>266</v>
      </c>
      <c r="D22" s="72" t="str">
        <f>IF(C22&lt;&gt;"",VLOOKUP(C22,Preciario!$A$2:$D$66,2,FALSE),"")</f>
        <v>T91B47</v>
      </c>
      <c r="E22" s="73" t="str">
        <f>IF(C22&lt;&gt;"",VLOOKUP(C22,Preciario!$A$2:$D$66,3,FALSE),"")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22" s="24">
        <f>IF(C22&lt;&gt;"",VLOOKUP(C22,Preciario!$A$2:$D$66,4,FALSE),"")</f>
        <v>89</v>
      </c>
      <c r="G22" s="24">
        <f t="shared" si="0"/>
        <v>178</v>
      </c>
      <c r="I22" s="16"/>
      <c r="J22" s="6" t="s">
        <v>3</v>
      </c>
      <c r="K22" s="15"/>
      <c r="L22" s="15"/>
      <c r="M22" s="15"/>
      <c r="N22" s="15"/>
      <c r="O22" s="7">
        <f t="shared" ref="O22" si="2">+N22*I22</f>
        <v>0</v>
      </c>
    </row>
    <row r="23" spans="1:21" x14ac:dyDescent="0.35">
      <c r="A23" s="71">
        <v>2</v>
      </c>
      <c r="B23" s="72" t="s">
        <v>3</v>
      </c>
      <c r="C23" s="73" t="s">
        <v>31</v>
      </c>
      <c r="D23" s="72" t="str">
        <f>IF(C23&lt;&gt;"",VLOOKUP(C23,Preciario!$A$2:$D$66,2,FALSE),"")</f>
        <v>LIC_CAM</v>
      </c>
      <c r="E23" s="73" t="str">
        <f>IF(C23&lt;&gt;"",VLOOKUP(C23,Preciario!$A$2:$D$66,3,FALSE),"")</f>
        <v xml:space="preserve">Licenciamiento de cámara en servidor </v>
      </c>
      <c r="F23" s="24">
        <f>IF(C23&lt;&gt;"",VLOOKUP(C23,Preciario!$A$2:$D$66,4,FALSE),"")</f>
        <v>159.05000000000001</v>
      </c>
      <c r="G23" s="24">
        <f t="shared" si="0"/>
        <v>318.10000000000002</v>
      </c>
      <c r="I23" s="16"/>
      <c r="J23" s="6" t="s">
        <v>3</v>
      </c>
      <c r="K23" s="15"/>
      <c r="L23" s="15"/>
      <c r="M23" s="15"/>
      <c r="N23" s="15"/>
      <c r="O23" s="7">
        <f t="shared" si="1"/>
        <v>0</v>
      </c>
    </row>
    <row r="24" spans="1:21" ht="25" x14ac:dyDescent="0.35">
      <c r="A24" s="71">
        <v>50</v>
      </c>
      <c r="B24" s="72" t="s">
        <v>10</v>
      </c>
      <c r="C24" s="73" t="s">
        <v>273</v>
      </c>
      <c r="D24" s="72" t="str">
        <f>IF(C24&lt;&gt;"",VLOOKUP(C24,Preciario!$A$2:$D$66,2,FALSE),"")</f>
        <v>TUBAC32</v>
      </c>
      <c r="E24" s="73" t="str">
        <f>IF(C24&lt;&gt;"",VLOOKUP(C24,Preciario!$A$2:$D$66,3,FALSE),"")</f>
        <v>Suministro e instalación de tubo acero M32, p.p mano de obra y accesorios</v>
      </c>
      <c r="F24" s="24">
        <f>IF(C24&lt;&gt;"",VLOOKUP(C24,Preciario!$A$2:$D$66,4,FALSE),"")</f>
        <v>24.78</v>
      </c>
      <c r="G24" s="24">
        <f t="shared" si="0"/>
        <v>1239</v>
      </c>
      <c r="I24" s="16"/>
      <c r="J24" s="6" t="s">
        <v>10</v>
      </c>
      <c r="K24" s="15"/>
      <c r="L24" s="15"/>
      <c r="M24" s="15"/>
      <c r="N24" s="15"/>
      <c r="O24" s="7">
        <f t="shared" si="1"/>
        <v>0</v>
      </c>
    </row>
    <row r="25" spans="1:21" ht="62.5" x14ac:dyDescent="0.35">
      <c r="A25" s="71">
        <v>120</v>
      </c>
      <c r="B25" s="72" t="s">
        <v>10</v>
      </c>
      <c r="C25" s="73" t="s">
        <v>277</v>
      </c>
      <c r="D25" s="72" t="str">
        <f>IF(C25&lt;&gt;"",VLOOKUP(C25,Preciario!$A$2:$D$66,2,FALSE),"")</f>
        <v>FTP_CAT6A/CAT7</v>
      </c>
      <c r="E25" s="73" t="str">
        <f>IF(C25&lt;&gt;"",VLOOKUP(C25,Preciario!$A$2:$D$66,3,FALSE),"")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25" s="24">
        <f>IF(C25&lt;&gt;"",VLOOKUP(C25,Preciario!$A$2:$D$66,4,FALSE),"")</f>
        <v>4.8</v>
      </c>
      <c r="G25" s="24">
        <f t="shared" si="0"/>
        <v>576</v>
      </c>
      <c r="I25" s="16"/>
      <c r="J25" s="6" t="s">
        <v>10</v>
      </c>
      <c r="K25" s="15"/>
      <c r="L25" s="15"/>
      <c r="M25" s="15"/>
      <c r="N25" s="15"/>
      <c r="O25" s="7">
        <f t="shared" si="1"/>
        <v>0</v>
      </c>
    </row>
    <row r="26" spans="1:21" ht="25" x14ac:dyDescent="0.35">
      <c r="A26" s="71">
        <f>'Presupuesto Total'!D32</f>
        <v>1</v>
      </c>
      <c r="B26" s="72" t="s">
        <v>11</v>
      </c>
      <c r="C26" s="73" t="s">
        <v>163</v>
      </c>
      <c r="D26" s="72" t="s">
        <v>164</v>
      </c>
      <c r="E26" s="73" t="str">
        <f>IF(C26&lt;&gt;"",VLOOKUP(C26,Preciario!$A$2:$D$66,3,FALSE),"")</f>
        <v>Partida ayudas auxiliares en equipamiento y mano de obra en sistemas de energía</v>
      </c>
      <c r="F26" s="24">
        <v>190.45500000000001</v>
      </c>
      <c r="G26" s="24">
        <f t="shared" si="0"/>
        <v>190.45500000000001</v>
      </c>
      <c r="I26" s="16"/>
      <c r="J26" s="6" t="s">
        <v>11</v>
      </c>
      <c r="K26" s="15"/>
      <c r="L26" s="15"/>
      <c r="M26" s="15"/>
      <c r="N26" s="15"/>
      <c r="O26" s="7">
        <f t="shared" si="1"/>
        <v>0</v>
      </c>
    </row>
    <row r="27" spans="1:21" ht="25" x14ac:dyDescent="0.35">
      <c r="A27" s="71">
        <f>'Presupuesto Total'!D33</f>
        <v>1</v>
      </c>
      <c r="B27" s="72" t="s">
        <v>11</v>
      </c>
      <c r="C27" s="73" t="s">
        <v>185</v>
      </c>
      <c r="D27" s="72" t="s">
        <v>162</v>
      </c>
      <c r="E27" s="73" t="str">
        <f>IF(C27&lt;&gt;"",VLOOKUP(C27,Preciario!$A$2:$D$66,3,FALSE),"")</f>
        <v>Partida ayudas auxiliares en equipamiento y mano de obra en albañilería</v>
      </c>
      <c r="F27" s="24">
        <v>190.45500000000001</v>
      </c>
      <c r="G27" s="24">
        <f t="shared" si="0"/>
        <v>190.45500000000001</v>
      </c>
      <c r="I27" s="16"/>
      <c r="J27" s="6" t="s">
        <v>11</v>
      </c>
      <c r="K27" s="15"/>
      <c r="L27" s="15"/>
      <c r="M27" s="15"/>
      <c r="N27" s="15"/>
      <c r="O27" s="7">
        <f t="shared" si="1"/>
        <v>0</v>
      </c>
    </row>
    <row r="28" spans="1:21" x14ac:dyDescent="0.35">
      <c r="A28" s="8"/>
      <c r="B28" s="8"/>
      <c r="C28" s="9"/>
      <c r="D28" s="9"/>
      <c r="E28" s="9"/>
      <c r="F28" s="19" t="s">
        <v>4</v>
      </c>
      <c r="G28" s="20">
        <f>SUM(G21:G27)</f>
        <v>4190.01</v>
      </c>
      <c r="I28" s="8"/>
      <c r="J28" s="8"/>
      <c r="K28" s="9"/>
      <c r="L28" s="9"/>
      <c r="M28" s="9"/>
      <c r="N28" s="19" t="s">
        <v>4</v>
      </c>
      <c r="O28" s="20">
        <f>SUM(O21:O27)</f>
        <v>0</v>
      </c>
    </row>
    <row r="29" spans="1:21" x14ac:dyDescent="0.35">
      <c r="A29" s="10"/>
      <c r="B29" s="10"/>
      <c r="C29" s="11"/>
      <c r="D29" s="11"/>
      <c r="E29" s="11"/>
      <c r="F29" s="11"/>
      <c r="G29" s="11"/>
      <c r="I29" s="10"/>
      <c r="J29" s="10"/>
      <c r="K29" s="11"/>
      <c r="L29" s="11"/>
      <c r="M29" s="11"/>
      <c r="N29" s="11"/>
      <c r="O29" s="11"/>
    </row>
    <row r="30" spans="1:21" ht="14.4" customHeight="1" x14ac:dyDescent="0.35">
      <c r="A30" s="198" t="s">
        <v>70</v>
      </c>
      <c r="B30" s="199"/>
      <c r="C30" s="200"/>
      <c r="D30" s="4"/>
      <c r="E30" s="4"/>
      <c r="F30" s="4"/>
      <c r="G30" s="5"/>
      <c r="I30" s="198" t="s">
        <v>70</v>
      </c>
      <c r="J30" s="199"/>
      <c r="K30" s="200"/>
      <c r="L30" s="87"/>
      <c r="M30" s="87"/>
      <c r="N30" s="4"/>
      <c r="O30" s="4"/>
    </row>
    <row r="31" spans="1:21" x14ac:dyDescent="0.35">
      <c r="A31" s="197" t="s">
        <v>0</v>
      </c>
      <c r="B31" s="197"/>
      <c r="C31" s="12" t="s">
        <v>13</v>
      </c>
      <c r="D31" s="12" t="s">
        <v>14</v>
      </c>
      <c r="E31" s="12" t="s">
        <v>256</v>
      </c>
      <c r="F31" s="12" t="s">
        <v>2</v>
      </c>
      <c r="G31" s="13" t="s">
        <v>7</v>
      </c>
      <c r="I31" s="197" t="s">
        <v>0</v>
      </c>
      <c r="J31" s="197"/>
      <c r="K31" s="12" t="s">
        <v>13</v>
      </c>
      <c r="L31" s="12" t="s">
        <v>14</v>
      </c>
      <c r="M31" s="12" t="s">
        <v>256</v>
      </c>
      <c r="N31" s="12" t="s">
        <v>2</v>
      </c>
      <c r="O31" s="13" t="s">
        <v>7</v>
      </c>
    </row>
    <row r="32" spans="1:21" ht="25" x14ac:dyDescent="0.35">
      <c r="A32" s="71">
        <v>5</v>
      </c>
      <c r="B32" s="72" t="s">
        <v>3</v>
      </c>
      <c r="C32" s="73" t="s">
        <v>29</v>
      </c>
      <c r="D32" s="72" t="str">
        <f>IF(C32&lt;&gt;"",VLOOKUP(C32,Preciario!$A$2:$D$66,2,FALSE),"")</f>
        <v>BACULO</v>
      </c>
      <c r="E32" s="73" t="str">
        <f>IF(C32&lt;&gt;"",VLOOKUP(C32,Preciario!$A$2:$D$66,3,FALSE),"")</f>
        <v xml:space="preserve">Báculo de 4 metros de altura para la colocación de una cámara de videovigilancia. Incluye el soporte de suelo. </v>
      </c>
      <c r="F32" s="24">
        <f>IF(C32&lt;&gt;"",VLOOKUP(C32,Preciario!$A$2:$D$66,4,FALSE),"")</f>
        <v>330</v>
      </c>
      <c r="G32" s="24">
        <f t="shared" ref="G32:G52" si="3">A32*F32</f>
        <v>1650</v>
      </c>
      <c r="I32" s="16"/>
      <c r="J32" s="6" t="s">
        <v>3</v>
      </c>
      <c r="K32" s="15"/>
      <c r="L32" s="15"/>
      <c r="M32" s="15"/>
      <c r="N32" s="15"/>
      <c r="O32" s="7">
        <f t="shared" ref="O32:O52" si="4">+N32*I32</f>
        <v>0</v>
      </c>
    </row>
    <row r="33" spans="1:15" ht="125" x14ac:dyDescent="0.35">
      <c r="A33" s="71">
        <v>9</v>
      </c>
      <c r="B33" s="72" t="s">
        <v>3</v>
      </c>
      <c r="C33" s="73" t="s">
        <v>72</v>
      </c>
      <c r="D33" s="72" t="str">
        <f>IF(C33&lt;&gt;"",VLOOKUP(C33,Preciario!$A$2:$D$66,2,FALSE),"")</f>
        <v>P3265LVE</v>
      </c>
      <c r="E33" s="73" t="str">
        <f>IF(C33&lt;&gt;"",VLOOKUP(C33,Preciario!$A$2:$D$66,3,FALSE),"")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33" s="24">
        <f>IF(C33&lt;&gt;"",VLOOKUP(C33,Preciario!$A$2:$D$66,4,FALSE),"")</f>
        <v>749</v>
      </c>
      <c r="G33" s="24">
        <f t="shared" si="3"/>
        <v>6741</v>
      </c>
      <c r="I33" s="16"/>
      <c r="J33" s="6" t="s">
        <v>3</v>
      </c>
      <c r="K33" s="15"/>
      <c r="L33" s="15"/>
      <c r="M33" s="15"/>
      <c r="N33" s="15"/>
      <c r="O33" s="7">
        <f t="shared" si="4"/>
        <v>0</v>
      </c>
    </row>
    <row r="34" spans="1:15" ht="50" x14ac:dyDescent="0.35">
      <c r="A34" s="71">
        <v>5</v>
      </c>
      <c r="B34" s="72" t="s">
        <v>3</v>
      </c>
      <c r="C34" s="73" t="s">
        <v>73</v>
      </c>
      <c r="D34" s="158" t="str">
        <f>IF(C34&lt;&gt;"",VLOOKUP(C34,Preciario!$A$2:$D$66,2,FALSE),"")</f>
        <v>Q1951-E</v>
      </c>
      <c r="E34" s="73" t="str">
        <f>IF(C34&lt;&gt;"",VLOOKUP(C34,Preciario!$A$2:$D$66,3,FALSE),"")</f>
        <v>Suministro y montaje de cámara IP térmica de alta sensibilidad para uso exterior con sensor de 384x288, la imagen puede ampliarse hasta 768x576, soporte y adaptador para montaje en báculo.</v>
      </c>
      <c r="F34" s="24">
        <f>IF(C34&lt;&gt;"",VLOOKUP(C34,Preciario!$A$2:$D$66,4,FALSE),"")</f>
        <v>2999</v>
      </c>
      <c r="G34" s="24">
        <f t="shared" si="3"/>
        <v>14995</v>
      </c>
      <c r="I34" s="16"/>
      <c r="J34" s="6" t="s">
        <v>3</v>
      </c>
      <c r="K34" s="15"/>
      <c r="L34" s="15"/>
      <c r="M34" s="15"/>
      <c r="N34" s="15"/>
      <c r="O34" s="7">
        <f t="shared" si="4"/>
        <v>0</v>
      </c>
    </row>
    <row r="35" spans="1:15" ht="62.5" x14ac:dyDescent="0.35">
      <c r="A35" s="71">
        <v>14</v>
      </c>
      <c r="B35" s="72" t="s">
        <v>3</v>
      </c>
      <c r="C35" s="73" t="s">
        <v>266</v>
      </c>
      <c r="D35" s="72" t="str">
        <f>IF(C35&lt;&gt;"",VLOOKUP(C35,Preciario!$A$2:$D$66,2,FALSE),"")</f>
        <v>T91B47</v>
      </c>
      <c r="E35" s="73" t="str">
        <f>IF(C35&lt;&gt;"",VLOOKUP(C35,Preciario!$A$2:$D$66,3,FALSE),"")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35" s="24">
        <f>IF(C35&lt;&gt;"",VLOOKUP(C35,Preciario!$A$2:$D$66,4,FALSE),"")</f>
        <v>89</v>
      </c>
      <c r="G35" s="24">
        <f t="shared" si="3"/>
        <v>1246</v>
      </c>
      <c r="I35" s="16"/>
      <c r="J35" s="6" t="s">
        <v>3</v>
      </c>
      <c r="K35" s="15"/>
      <c r="L35" s="15"/>
      <c r="M35" s="15"/>
      <c r="N35" s="15"/>
      <c r="O35" s="7">
        <f t="shared" ref="O35" si="5">+N35*I35</f>
        <v>0</v>
      </c>
    </row>
    <row r="36" spans="1:15" x14ac:dyDescent="0.35">
      <c r="A36" s="71">
        <v>14</v>
      </c>
      <c r="B36" s="72" t="s">
        <v>3</v>
      </c>
      <c r="C36" s="73" t="s">
        <v>31</v>
      </c>
      <c r="D36" s="72" t="str">
        <f>IF(C36&lt;&gt;"",VLOOKUP(C36,Preciario!$A$2:$D$66,2,FALSE),"")</f>
        <v>LIC_CAM</v>
      </c>
      <c r="E36" s="73" t="str">
        <f>IF(C36&lt;&gt;"",VLOOKUP(C36,Preciario!$A$2:$D$66,3,FALSE),"")</f>
        <v xml:space="preserve">Licenciamiento de cámara en servidor </v>
      </c>
      <c r="F36" s="24">
        <f>IF(C36&lt;&gt;"",VLOOKUP(C36,Preciario!$A$2:$D$66,4,FALSE),"")</f>
        <v>159.05000000000001</v>
      </c>
      <c r="G36" s="24">
        <f t="shared" si="3"/>
        <v>2226.7000000000003</v>
      </c>
      <c r="I36" s="16"/>
      <c r="J36" s="6" t="s">
        <v>3</v>
      </c>
      <c r="K36" s="15"/>
      <c r="L36" s="15"/>
      <c r="M36" s="15"/>
      <c r="N36" s="15"/>
      <c r="O36" s="7">
        <f t="shared" si="4"/>
        <v>0</v>
      </c>
    </row>
    <row r="37" spans="1:15" ht="87.5" x14ac:dyDescent="0.35">
      <c r="A37" s="71">
        <v>6</v>
      </c>
      <c r="B37" s="72" t="s">
        <v>3</v>
      </c>
      <c r="C37" s="73" t="s">
        <v>190</v>
      </c>
      <c r="D37" s="72" t="str">
        <f>IF(C37&lt;&gt;"",VLOOKUP(C37,Preciario!$A$2:$D$66,2,FALSE),"")</f>
        <v>DE.3001</v>
      </c>
      <c r="E37" s="73" t="str">
        <f>IF(C37&lt;&gt;"",VLOOKUP(C37,Preciario!$A$2:$D$66,3,FALSE),"")</f>
        <v xml:space="preserve">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 Incluida instalación y configuración. </v>
      </c>
      <c r="F37" s="24">
        <f>IF(C37&lt;&gt;"",VLOOKUP(C37,Preciario!$A$2:$D$66,4,FALSE),"")</f>
        <v>392</v>
      </c>
      <c r="G37" s="24">
        <f t="shared" si="3"/>
        <v>2352</v>
      </c>
      <c r="I37" s="16"/>
      <c r="J37" s="6" t="s">
        <v>3</v>
      </c>
      <c r="K37" s="15"/>
      <c r="L37" s="15"/>
      <c r="M37" s="15"/>
      <c r="N37" s="15"/>
      <c r="O37" s="7">
        <f t="shared" si="4"/>
        <v>0</v>
      </c>
    </row>
    <row r="38" spans="1:15" ht="50" x14ac:dyDescent="0.35">
      <c r="A38" s="71">
        <v>6</v>
      </c>
      <c r="B38" s="72" t="s">
        <v>3</v>
      </c>
      <c r="C38" s="73" t="s">
        <v>189</v>
      </c>
      <c r="D38" s="72" t="str">
        <f>IF(C38&lt;&gt;"",VLOOKUP(C38,Preciario!$A$2:$D$66,2,FALSE),"")</f>
        <v>ACAP PER_DEF</v>
      </c>
      <c r="E38" s="73" t="str">
        <f>IF(C38&lt;&gt;"",VLOOKUP(C38,Preciario!$A$2:$D$66,3,FALSE),"")</f>
        <v xml:space="preserve">Licencia de unidad única para AXIS Perimeter Defender, una aplicación de análisis de video escalable y flexible para vigilancia y protección perimetral. Incluida instalación y configuración. </v>
      </c>
      <c r="F38" s="24">
        <f>IF(C38&lt;&gt;"",VLOOKUP(C38,Preciario!$A$2:$D$66,4,FALSE),"")</f>
        <v>299</v>
      </c>
      <c r="G38" s="24">
        <f t="shared" si="3"/>
        <v>1794</v>
      </c>
      <c r="I38" s="16"/>
      <c r="J38" s="6" t="s">
        <v>3</v>
      </c>
      <c r="K38" s="15"/>
      <c r="L38" s="15"/>
      <c r="M38" s="15"/>
      <c r="N38" s="15"/>
      <c r="O38" s="7">
        <f t="shared" si="4"/>
        <v>0</v>
      </c>
    </row>
    <row r="39" spans="1:15" ht="112.5" x14ac:dyDescent="0.35">
      <c r="A39" s="71">
        <v>3</v>
      </c>
      <c r="B39" s="72" t="s">
        <v>3</v>
      </c>
      <c r="C39" s="73" t="s">
        <v>236</v>
      </c>
      <c r="D39" s="72" t="str">
        <f>IF(C39&lt;&gt;"",VLOOKUP(C39,Preciario!$A$2:$D$66,2,FALSE),"")</f>
        <v>IGS-5225-8P2S2X</v>
      </c>
      <c r="E39" s="73" t="str">
        <f>IF(C39&lt;&gt;"",VLOOKUP(C39,Preciario!$A$2:$D$66,3,FALSE),"")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39" s="24">
        <f>IF(C39&lt;&gt;"",VLOOKUP(C39,Preciario!$A$2:$D$66,4,FALSE),"")</f>
        <v>957.6</v>
      </c>
      <c r="G39" s="24">
        <f t="shared" si="3"/>
        <v>2872.8</v>
      </c>
      <c r="I39" s="16"/>
      <c r="J39" s="6" t="s">
        <v>3</v>
      </c>
      <c r="K39" s="15"/>
      <c r="L39" s="15"/>
      <c r="M39" s="15"/>
      <c r="N39" s="15"/>
      <c r="O39" s="7">
        <f t="shared" si="4"/>
        <v>0</v>
      </c>
    </row>
    <row r="40" spans="1:15" ht="14.4" customHeight="1" x14ac:dyDescent="0.35">
      <c r="A40" s="71">
        <v>6</v>
      </c>
      <c r="B40" s="72" t="s">
        <v>3</v>
      </c>
      <c r="C40" s="73" t="s">
        <v>243</v>
      </c>
      <c r="D40" s="72" t="str">
        <f>IF(C40&lt;&gt;"",VLOOKUP(C40,Preciario!$A$2:$D$66,2,FALSE),"")</f>
        <v>MTB-TSR2</v>
      </c>
      <c r="E40" s="73" t="str">
        <f>IF(C40&lt;&gt;"",VLOOKUP(C40,Preciario!$A$2:$D$66,3,FALSE),"")</f>
        <v>Módulo de fibra óptica 10GBASE-LR SFP+ de 1 puerto: 2 km (-40~75 grados C)</v>
      </c>
      <c r="F40" s="24">
        <f>IF(C40&lt;&gt;"",VLOOKUP(C40,Preciario!$A$2:$D$66,4,FALSE),"")</f>
        <v>104</v>
      </c>
      <c r="G40" s="24">
        <f t="shared" si="3"/>
        <v>624</v>
      </c>
      <c r="I40" s="16"/>
      <c r="J40" s="6" t="s">
        <v>3</v>
      </c>
      <c r="K40" s="15"/>
      <c r="L40" s="15"/>
      <c r="M40" s="15"/>
      <c r="N40" s="15"/>
      <c r="O40" s="7">
        <f t="shared" si="4"/>
        <v>0</v>
      </c>
    </row>
    <row r="41" spans="1:15" ht="150" x14ac:dyDescent="0.35">
      <c r="A41" s="71">
        <v>3</v>
      </c>
      <c r="B41" s="72" t="s">
        <v>3</v>
      </c>
      <c r="C41" s="73" t="s">
        <v>42</v>
      </c>
      <c r="D41" s="72" t="str">
        <f>IF(C41&lt;&gt;"",VLOOKUP(C41,Preciario!$A$2:$D$66,2,FALSE),"")</f>
        <v>AM60x40</v>
      </c>
      <c r="E41" s="73" t="str">
        <f>IF(C41&lt;&gt;"",VLOOKUP(C41,Preciario!$A$2:$D$66,3,FALSE),"")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41" s="24">
        <f>IF(C41&lt;&gt;"",VLOOKUP(C41,Preciario!$A$2:$D$66,4,FALSE),"")</f>
        <v>862.465236111114</v>
      </c>
      <c r="G41" s="24">
        <f t="shared" si="3"/>
        <v>2587.3957083333421</v>
      </c>
      <c r="I41" s="16"/>
      <c r="J41" s="6" t="s">
        <v>3</v>
      </c>
      <c r="K41" s="15"/>
      <c r="L41" s="15"/>
      <c r="M41" s="15"/>
      <c r="N41" s="15"/>
      <c r="O41" s="7">
        <f t="shared" si="4"/>
        <v>0</v>
      </c>
    </row>
    <row r="42" spans="1:15" ht="25" x14ac:dyDescent="0.35">
      <c r="A42" s="71">
        <v>100</v>
      </c>
      <c r="B42" s="72" t="s">
        <v>10</v>
      </c>
      <c r="C42" s="73" t="s">
        <v>273</v>
      </c>
      <c r="D42" s="72" t="str">
        <f>IF(C42&lt;&gt;"",VLOOKUP(C42,Preciario!$A$2:$D$66,2,FALSE),"")</f>
        <v>TUBAC32</v>
      </c>
      <c r="E42" s="73" t="str">
        <f>IF(C42&lt;&gt;"",VLOOKUP(C42,Preciario!$A$2:$D$66,3,FALSE),"")</f>
        <v>Suministro e instalación de tubo acero M32, p.p mano de obra y accesorios</v>
      </c>
      <c r="F42" s="24">
        <f>IF(C42&lt;&gt;"",VLOOKUP(C42,Preciario!$A$2:$D$66,4,FALSE),"")</f>
        <v>24.78</v>
      </c>
      <c r="G42" s="24">
        <f t="shared" si="3"/>
        <v>2478</v>
      </c>
      <c r="I42" s="16"/>
      <c r="J42" s="6" t="s">
        <v>10</v>
      </c>
      <c r="K42" s="15"/>
      <c r="L42" s="15"/>
      <c r="M42" s="15"/>
      <c r="N42" s="15"/>
      <c r="O42" s="7">
        <f t="shared" si="4"/>
        <v>0</v>
      </c>
    </row>
    <row r="43" spans="1:15" ht="25" x14ac:dyDescent="0.35">
      <c r="A43" s="71">
        <v>1</v>
      </c>
      <c r="B43" s="72" t="s">
        <v>3</v>
      </c>
      <c r="C43" s="73" t="s">
        <v>49</v>
      </c>
      <c r="D43" s="72" t="str">
        <f>IF(C43&lt;&gt;"",VLOOKUP(C43,Preciario!$A$2:$D$66,2,FALSE),"")</f>
        <v>CHAPA</v>
      </c>
      <c r="E43" s="73" t="str">
        <f>IF(C43&lt;&gt;"",VLOOKUP(C43,Preciario!$A$2:$D$66,3,FALSE),"")</f>
        <v>Chapa perforada para evitar vandalización de elemento de seguridad</v>
      </c>
      <c r="F43" s="24">
        <f>IF(C43&lt;&gt;"",VLOOKUP(C43,Preciario!$A$2:$D$66,4,FALSE),"")</f>
        <v>200</v>
      </c>
      <c r="G43" s="24">
        <f t="shared" si="3"/>
        <v>200</v>
      </c>
      <c r="I43" s="16"/>
      <c r="J43" s="6" t="s">
        <v>3</v>
      </c>
      <c r="K43" s="15"/>
      <c r="L43" s="15"/>
      <c r="M43" s="15"/>
      <c r="N43" s="15"/>
      <c r="O43" s="7">
        <f t="shared" si="4"/>
        <v>0</v>
      </c>
    </row>
    <row r="44" spans="1:15" ht="25" x14ac:dyDescent="0.35">
      <c r="A44" s="71">
        <v>1250</v>
      </c>
      <c r="B44" s="72" t="s">
        <v>10</v>
      </c>
      <c r="C44" s="73" t="s">
        <v>275</v>
      </c>
      <c r="D44" s="72" t="str">
        <f>IF(C44&lt;&gt;"",VLOOKUP(C44,Preciario!$A$2:$D$66,2,FALSE),"")</f>
        <v>C_ELE_3X2,5</v>
      </c>
      <c r="E44" s="73" t="str">
        <f>IF(C44&lt;&gt;"",VLOOKUP(C44,Preciario!$A$2:$D$66,3,FALSE),"")</f>
        <v>Suministro e instalación de manguera exterior RZ1-K 3x2,5mm</v>
      </c>
      <c r="F44" s="24">
        <f>IF(C44&lt;&gt;"",VLOOKUP(C44,Preciario!$A$2:$D$66,4,FALSE),"")</f>
        <v>4</v>
      </c>
      <c r="G44" s="24">
        <f t="shared" si="3"/>
        <v>5000</v>
      </c>
      <c r="I44" s="16"/>
      <c r="J44" s="6" t="s">
        <v>10</v>
      </c>
      <c r="K44" s="15"/>
      <c r="L44" s="15"/>
      <c r="M44" s="15"/>
      <c r="N44" s="15"/>
      <c r="O44" s="7">
        <f t="shared" si="4"/>
        <v>0</v>
      </c>
    </row>
    <row r="45" spans="1:15" ht="62.5" x14ac:dyDescent="0.35">
      <c r="A45" s="71">
        <v>710</v>
      </c>
      <c r="B45" s="72" t="s">
        <v>10</v>
      </c>
      <c r="C45" s="73" t="s">
        <v>277</v>
      </c>
      <c r="D45" s="72" t="str">
        <f>IF(C45&lt;&gt;"",VLOOKUP(C45,Preciario!$A$2:$D$66,2,FALSE),"")</f>
        <v>FTP_CAT6A/CAT7</v>
      </c>
      <c r="E45" s="73" t="str">
        <f>IF(C45&lt;&gt;"",VLOOKUP(C45,Preciario!$A$2:$D$66,3,FALSE),"")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45" s="24">
        <f>IF(C45&lt;&gt;"",VLOOKUP(C45,Preciario!$A$2:$D$66,4,FALSE),"")</f>
        <v>4.8</v>
      </c>
      <c r="G45" s="24">
        <f t="shared" si="3"/>
        <v>3408</v>
      </c>
      <c r="I45" s="16"/>
      <c r="J45" s="6" t="s">
        <v>10</v>
      </c>
      <c r="K45" s="15"/>
      <c r="L45" s="15"/>
      <c r="M45" s="15"/>
      <c r="N45" s="15"/>
      <c r="O45" s="7">
        <f t="shared" si="4"/>
        <v>0</v>
      </c>
    </row>
    <row r="46" spans="1:15" ht="50" x14ac:dyDescent="0.35">
      <c r="A46" s="71">
        <v>1250</v>
      </c>
      <c r="B46" s="72" t="s">
        <v>10</v>
      </c>
      <c r="C46" s="73" t="s">
        <v>278</v>
      </c>
      <c r="D46" s="72" t="str">
        <f>IF(C46&lt;&gt;"",VLOOKUP(C46,Preciario!$A$2:$D$66,2,FALSE),"")</f>
        <v>FO_OS2</v>
      </c>
      <c r="E46" s="73" t="str">
        <f>IF(C46&lt;&gt;"",VLOOKUP(C46,Preciario!$A$2:$D$66,3,FALSE),"")</f>
        <v xml:space="preserve">Suministro e instalación de manguera de fibra óptica de exterior con cubierta de PE protección UV, malla-chapa antiroedor, CPR, 12 FO SM, de tipo OS2 pp. Conexionado fusiones y certificación </v>
      </c>
      <c r="F46" s="24">
        <f>IF(C46&lt;&gt;"",VLOOKUP(C46,Preciario!$A$2:$D$66,4,FALSE),"")</f>
        <v>5.2</v>
      </c>
      <c r="G46" s="24">
        <f t="shared" si="3"/>
        <v>6500</v>
      </c>
      <c r="I46" s="16"/>
      <c r="J46" s="6" t="s">
        <v>10</v>
      </c>
      <c r="K46" s="15"/>
      <c r="L46" s="15"/>
      <c r="M46" s="15"/>
      <c r="N46" s="15"/>
      <c r="O46" s="7">
        <f t="shared" si="4"/>
        <v>0</v>
      </c>
    </row>
    <row r="47" spans="1:15" ht="75" x14ac:dyDescent="0.35">
      <c r="A47" s="71">
        <v>5</v>
      </c>
      <c r="B47" s="72" t="s">
        <v>3</v>
      </c>
      <c r="C47" s="73" t="s">
        <v>234</v>
      </c>
      <c r="D47" s="72" t="str">
        <f>IF(C47&lt;&gt;"",VLOOKUP(C47,Preciario!$A$2:$D$66,2,FALSE),"")</f>
        <v>ZPT606060</v>
      </c>
      <c r="E47" s="73" t="str">
        <f>IF(C47&lt;&gt;"",VLOOKUP(C47,Preciario!$A$2:$D$66,3,FALSE),"")</f>
        <v>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v>
      </c>
      <c r="F47" s="24">
        <f>IF(C47&lt;&gt;"",VLOOKUP(C47,Preciario!$A$2:$D$66,4,FALSE),"")</f>
        <v>226.5</v>
      </c>
      <c r="G47" s="24">
        <f t="shared" si="3"/>
        <v>1132.5</v>
      </c>
      <c r="I47" s="16"/>
      <c r="J47" s="6" t="s">
        <v>3</v>
      </c>
      <c r="K47" s="15"/>
      <c r="L47" s="15"/>
      <c r="M47" s="15"/>
      <c r="N47" s="15"/>
      <c r="O47" s="7">
        <f t="shared" si="4"/>
        <v>0</v>
      </c>
    </row>
    <row r="48" spans="1:15" ht="37.5" x14ac:dyDescent="0.35">
      <c r="A48" s="71">
        <v>1</v>
      </c>
      <c r="B48" s="72" t="s">
        <v>3</v>
      </c>
      <c r="C48" s="73" t="s">
        <v>286</v>
      </c>
      <c r="D48" s="72" t="str">
        <f>IF(C48&lt;&gt;"",VLOOKUP(C48,Preciario!$A$2:$D$66,2,FALSE),"")</f>
        <v>Río</v>
      </c>
      <c r="E48" s="73" t="str">
        <f>IF(C48&lt;&gt;"",VLOOKUP(C48,Preciario!$A$2:$D$66,3,FALSE),"")</f>
        <v>Módulo expansor de zonas, para ampliación de la capacidad de entradas de la central de intrusión ofertada. Incluida fuente de alimentación y batería</v>
      </c>
      <c r="F48" s="24">
        <f>IF(C48&lt;&gt;"",VLOOKUP(C48,Preciario!$A$2:$D$66,4,FALSE),"")</f>
        <v>350</v>
      </c>
      <c r="G48" s="24">
        <f t="shared" si="3"/>
        <v>350</v>
      </c>
      <c r="I48" s="16"/>
      <c r="J48" s="6" t="s">
        <v>3</v>
      </c>
      <c r="K48" s="15"/>
      <c r="L48" s="15"/>
      <c r="M48" s="15"/>
      <c r="N48" s="15"/>
      <c r="O48" s="7">
        <f t="shared" si="4"/>
        <v>0</v>
      </c>
    </row>
    <row r="49" spans="1:15" ht="112.4" customHeight="1" x14ac:dyDescent="0.35">
      <c r="A49" s="71">
        <v>1</v>
      </c>
      <c r="B49" s="72" t="s">
        <v>3</v>
      </c>
      <c r="C49" s="73" t="s">
        <v>289</v>
      </c>
      <c r="D49" s="72" t="str">
        <f>IF(C49&lt;&gt;"",VLOOKUP(C49,Preciario!$A$2:$D$66,2,FALSE),"")</f>
        <v>MOXA Iologik E1214</v>
      </c>
      <c r="E49" s="73" t="str">
        <f>IF(C49&lt;&gt;"",VLOOKUP(C49,Preciario!$A$2:$D$66,3,FALSE),"")</f>
        <v>Módulo de E/S digitales Ethernet. Seis puertos de entrada digital y 6 puertos de salida digital mediante Relé. Entradas digitales: 6 canales. Relés: 6 canales. Aislamiento: 3k VDC o 2k Vrms. Tipo de sensor: contacto húmedo (NPN o PNP), contacto seco. Modo I/O: DI o contador de eventos. Contacto seco: Encendido: corto a GND. Apagado: abierto. Contacto húmedo (DI a COM): Encendido: 10 a 30 VCC. Apagado: 0 a 3 VCC. Según características descritas en PPT.</v>
      </c>
      <c r="F49" s="24">
        <f>IF(C49&lt;&gt;"",VLOOKUP(C49,Preciario!$A$2:$D$66,4,FALSE),"")</f>
        <v>300</v>
      </c>
      <c r="G49" s="24">
        <f t="shared" si="3"/>
        <v>300</v>
      </c>
      <c r="H49" s="49"/>
      <c r="I49" s="16"/>
      <c r="J49" s="6" t="s">
        <v>3</v>
      </c>
      <c r="K49" s="15"/>
      <c r="L49" s="15"/>
      <c r="M49" s="15"/>
      <c r="N49" s="15"/>
      <c r="O49" s="7">
        <f t="shared" si="4"/>
        <v>0</v>
      </c>
    </row>
    <row r="50" spans="1:15" ht="25" x14ac:dyDescent="0.35">
      <c r="A50" s="71">
        <v>1</v>
      </c>
      <c r="B50" s="72" t="s">
        <v>11</v>
      </c>
      <c r="C50" s="73" t="s">
        <v>307</v>
      </c>
      <c r="D50" s="72" t="s">
        <v>164</v>
      </c>
      <c r="E50" s="73" t="str">
        <f>IF(C50&lt;&gt;"",VLOOKUP(C50,Preciario!$A$2:$D$66,3,FALSE),"")</f>
        <v>Partida de mano de obra para configuración módulos IO en abonado CRA</v>
      </c>
      <c r="F50" s="24">
        <v>175</v>
      </c>
      <c r="G50" s="24">
        <f t="shared" si="3"/>
        <v>175</v>
      </c>
      <c r="I50" s="16"/>
      <c r="J50" s="6" t="s">
        <v>11</v>
      </c>
      <c r="K50" s="15"/>
      <c r="L50" s="15"/>
      <c r="M50" s="15"/>
      <c r="N50" s="15"/>
      <c r="O50" s="7">
        <f t="shared" si="4"/>
        <v>0</v>
      </c>
    </row>
    <row r="51" spans="1:15" ht="25" x14ac:dyDescent="0.35">
      <c r="A51" s="71">
        <f>'Presupuesto Total'!D32</f>
        <v>1</v>
      </c>
      <c r="B51" s="72" t="s">
        <v>11</v>
      </c>
      <c r="C51" s="73" t="s">
        <v>163</v>
      </c>
      <c r="D51" s="72" t="s">
        <v>164</v>
      </c>
      <c r="E51" s="73" t="str">
        <f>IF(C51&lt;&gt;"",VLOOKUP(C51,Preciario!$A$2:$D$66,3,FALSE),"")</f>
        <v>Partida ayudas auxiliares en equipamiento y mano de obra en sistemas de energía</v>
      </c>
      <c r="F51" s="24">
        <v>2851.3250000000003</v>
      </c>
      <c r="G51" s="24">
        <f t="shared" si="3"/>
        <v>2851.3250000000003</v>
      </c>
      <c r="I51" s="16"/>
      <c r="J51" s="6" t="s">
        <v>11</v>
      </c>
      <c r="K51" s="15"/>
      <c r="L51" s="15"/>
      <c r="M51" s="15"/>
      <c r="N51" s="15"/>
      <c r="O51" s="7">
        <f t="shared" si="4"/>
        <v>0</v>
      </c>
    </row>
    <row r="52" spans="1:15" ht="25" x14ac:dyDescent="0.35">
      <c r="A52" s="71">
        <f>'Presupuesto Total'!D33</f>
        <v>1</v>
      </c>
      <c r="B52" s="72" t="s">
        <v>11</v>
      </c>
      <c r="C52" s="73" t="s">
        <v>185</v>
      </c>
      <c r="D52" s="72" t="s">
        <v>162</v>
      </c>
      <c r="E52" s="73" t="str">
        <f>IF(C52&lt;&gt;"",VLOOKUP(C52,Preciario!$A$2:$D$66,3,FALSE),"")</f>
        <v>Partida ayudas auxiliares en equipamiento y mano de obra en albañilería</v>
      </c>
      <c r="F52" s="24">
        <v>2851.3250000000003</v>
      </c>
      <c r="G52" s="24">
        <f t="shared" si="3"/>
        <v>2851.3250000000003</v>
      </c>
      <c r="I52" s="16"/>
      <c r="J52" s="6" t="s">
        <v>11</v>
      </c>
      <c r="K52" s="15"/>
      <c r="L52" s="15"/>
      <c r="M52" s="15"/>
      <c r="N52" s="15"/>
      <c r="O52" s="7">
        <f t="shared" si="4"/>
        <v>0</v>
      </c>
    </row>
    <row r="53" spans="1:15" x14ac:dyDescent="0.35">
      <c r="A53" s="8"/>
      <c r="B53" s="8"/>
      <c r="C53" s="9"/>
      <c r="D53" s="9"/>
      <c r="E53" s="9"/>
      <c r="F53" s="19" t="s">
        <v>4</v>
      </c>
      <c r="G53" s="20">
        <f>SUM(G32:G52)</f>
        <v>62335.045708333339</v>
      </c>
      <c r="I53" s="8"/>
      <c r="J53" s="8"/>
      <c r="K53" s="9"/>
      <c r="L53" s="9"/>
      <c r="M53" s="9"/>
      <c r="N53" s="19" t="s">
        <v>4</v>
      </c>
      <c r="O53" s="20">
        <f>SUM(O32:O52)</f>
        <v>0</v>
      </c>
    </row>
    <row r="54" spans="1:15" x14ac:dyDescent="0.35">
      <c r="A54" s="10"/>
      <c r="B54" s="10"/>
      <c r="C54" s="11"/>
      <c r="D54" s="11"/>
      <c r="E54" s="11"/>
      <c r="F54" s="11"/>
      <c r="G54" s="11"/>
      <c r="I54" s="10"/>
      <c r="J54" s="10"/>
      <c r="K54" s="11"/>
      <c r="L54" s="11"/>
      <c r="M54" s="11"/>
      <c r="N54" s="11"/>
      <c r="O54" s="11"/>
    </row>
    <row r="55" spans="1:15" ht="14.4" customHeight="1" x14ac:dyDescent="0.35">
      <c r="A55" s="198" t="s">
        <v>193</v>
      </c>
      <c r="B55" s="199"/>
      <c r="C55" s="200"/>
      <c r="D55" s="4"/>
      <c r="E55" s="4"/>
      <c r="F55" s="4"/>
      <c r="G55" s="5"/>
      <c r="I55" s="198" t="s">
        <v>193</v>
      </c>
      <c r="J55" s="199"/>
      <c r="K55" s="200"/>
      <c r="L55" s="87"/>
      <c r="M55" s="87"/>
      <c r="N55" s="4"/>
      <c r="O55" s="4"/>
    </row>
    <row r="56" spans="1:15" x14ac:dyDescent="0.35">
      <c r="A56" s="197" t="s">
        <v>0</v>
      </c>
      <c r="B56" s="197"/>
      <c r="C56" s="12" t="s">
        <v>13</v>
      </c>
      <c r="D56" s="12" t="s">
        <v>14</v>
      </c>
      <c r="E56" s="12" t="s">
        <v>256</v>
      </c>
      <c r="F56" s="12" t="s">
        <v>2</v>
      </c>
      <c r="G56" s="13" t="s">
        <v>7</v>
      </c>
      <c r="I56" s="197" t="s">
        <v>0</v>
      </c>
      <c r="J56" s="197"/>
      <c r="K56" s="12" t="s">
        <v>13</v>
      </c>
      <c r="L56" s="12" t="s">
        <v>14</v>
      </c>
      <c r="M56" s="12" t="s">
        <v>256</v>
      </c>
      <c r="N56" s="12" t="s">
        <v>2</v>
      </c>
      <c r="O56" s="13" t="s">
        <v>7</v>
      </c>
    </row>
    <row r="57" spans="1:15" x14ac:dyDescent="0.35">
      <c r="A57" s="71">
        <v>4</v>
      </c>
      <c r="B57" s="72" t="s">
        <v>3</v>
      </c>
      <c r="C57" s="73" t="s">
        <v>211</v>
      </c>
      <c r="D57" s="72" t="str">
        <f>IF(C57&lt;&gt;"",VLOOKUP(C57,Preciario!$A$2:$D$66,2,FALSE),"")</f>
        <v>HDD8TB</v>
      </c>
      <c r="E57" s="73" t="str">
        <f>IF(C57&lt;&gt;"",VLOOKUP(C57,Preciario!$A$2:$D$66,3,FALSE),"")</f>
        <v>Disco duro SERVIDOR 8TB</v>
      </c>
      <c r="F57" s="24">
        <f>IF(C57&lt;&gt;"",VLOOKUP(C57,Preciario!$A$2:$D$66,4,FALSE),"")</f>
        <v>427.35</v>
      </c>
      <c r="G57" s="24">
        <f>A57*F57</f>
        <v>1709.4</v>
      </c>
      <c r="I57" s="16"/>
      <c r="J57" s="6" t="s">
        <v>3</v>
      </c>
      <c r="K57" s="15"/>
      <c r="L57" s="15"/>
      <c r="M57" s="15"/>
      <c r="N57" s="15"/>
      <c r="O57" s="7">
        <f t="shared" ref="O57:O60" si="6">+N57*I57</f>
        <v>0</v>
      </c>
    </row>
    <row r="58" spans="1:15" x14ac:dyDescent="0.35">
      <c r="A58" s="43">
        <v>2</v>
      </c>
      <c r="B58" s="24" t="s">
        <v>3</v>
      </c>
      <c r="C58" s="35" t="s">
        <v>223</v>
      </c>
      <c r="D58" s="24" t="str">
        <f>IF(C58&lt;&gt;"",VLOOKUP(C58,Preciario!$A$2:$D$66,2,FALSE),"")</f>
        <v>RAM4GB</v>
      </c>
      <c r="E58" s="73" t="str">
        <f>IF(C58&lt;&gt;"",VLOOKUP(C58,Preciario!$A$2:$D$66,3,FALSE),"")</f>
        <v>Memoría RAM 4GB</v>
      </c>
      <c r="F58" s="24">
        <f>IF(C58&lt;&gt;"",VLOOKUP(C58,Preciario!$A$2:$D$66,4,FALSE),"")</f>
        <v>55.5</v>
      </c>
      <c r="G58" s="24">
        <f>A58*F58</f>
        <v>111</v>
      </c>
      <c r="I58" s="16"/>
      <c r="J58" s="6" t="s">
        <v>3</v>
      </c>
      <c r="K58" s="15"/>
      <c r="L58" s="15"/>
      <c r="M58" s="15"/>
      <c r="N58" s="15"/>
      <c r="O58" s="7">
        <f t="shared" si="6"/>
        <v>0</v>
      </c>
    </row>
    <row r="59" spans="1:15" ht="26" x14ac:dyDescent="0.35">
      <c r="A59" s="43">
        <v>2</v>
      </c>
      <c r="B59" s="24" t="s">
        <v>3</v>
      </c>
      <c r="C59" s="35" t="s">
        <v>225</v>
      </c>
      <c r="D59" s="24" t="str">
        <f>IF(C59&lt;&gt;"",VLOOKUP(C59,Preciario!$A$2:$D$66,2,FALSE),"")</f>
        <v>Actualización EQUIPO</v>
      </c>
      <c r="E59" s="73" t="str">
        <f>IF(C59&lt;&gt;"",VLOOKUP(C59,Preciario!$A$2:$D$66,3,FALSE),"")</f>
        <v>Placa Base, Microprocesador, Tarjeta RED, Ventilador</v>
      </c>
      <c r="F59" s="24">
        <f>IF(C59&lt;&gt;"",VLOOKUP(C59,Preciario!$A$2:$D$66,4,FALSE),"")</f>
        <v>696.0625</v>
      </c>
      <c r="G59" s="24">
        <f>A59*F59</f>
        <v>1392.125</v>
      </c>
      <c r="I59" s="16"/>
      <c r="J59" s="6" t="s">
        <v>3</v>
      </c>
      <c r="K59" s="15"/>
      <c r="L59" s="15"/>
      <c r="M59" s="15"/>
      <c r="N59" s="15"/>
      <c r="O59" s="7">
        <f t="shared" si="6"/>
        <v>0</v>
      </c>
    </row>
    <row r="60" spans="1:15" ht="15" customHeight="1" x14ac:dyDescent="0.35">
      <c r="A60" s="43">
        <v>1</v>
      </c>
      <c r="B60" s="24" t="s">
        <v>11</v>
      </c>
      <c r="C60" s="35" t="s">
        <v>207</v>
      </c>
      <c r="D60" s="60" t="s">
        <v>208</v>
      </c>
      <c r="E60" s="73" t="s">
        <v>207</v>
      </c>
      <c r="F60" s="60">
        <v>510.6</v>
      </c>
      <c r="G60" s="60">
        <f>A60*F60</f>
        <v>510.6</v>
      </c>
      <c r="I60" s="16"/>
      <c r="J60" s="6" t="s">
        <v>11</v>
      </c>
      <c r="K60" s="15"/>
      <c r="L60" s="15"/>
      <c r="M60" s="15"/>
      <c r="N60" s="15"/>
      <c r="O60" s="7">
        <f t="shared" si="6"/>
        <v>0</v>
      </c>
    </row>
    <row r="61" spans="1:15" x14ac:dyDescent="0.35">
      <c r="A61" s="8"/>
      <c r="B61" s="8"/>
      <c r="C61" s="9"/>
      <c r="D61" s="9"/>
      <c r="E61" s="9"/>
      <c r="F61" s="19" t="s">
        <v>4</v>
      </c>
      <c r="G61" s="20">
        <f>SUM(G57:G60)</f>
        <v>3723.125</v>
      </c>
      <c r="I61" s="8"/>
      <c r="J61" s="8"/>
      <c r="K61" s="9"/>
      <c r="L61" s="9"/>
      <c r="M61" s="9"/>
      <c r="N61" s="19" t="s">
        <v>4</v>
      </c>
      <c r="O61" s="20">
        <f>SUM(O57:O60)</f>
        <v>0</v>
      </c>
    </row>
    <row r="62" spans="1:15" x14ac:dyDescent="0.35">
      <c r="A62" s="10"/>
      <c r="B62" s="10"/>
      <c r="C62" s="11"/>
      <c r="D62" s="11"/>
      <c r="E62" s="11"/>
      <c r="F62" s="11"/>
      <c r="G62" s="11"/>
      <c r="I62" s="10"/>
      <c r="J62" s="10"/>
      <c r="K62" s="11"/>
      <c r="L62" s="11"/>
      <c r="M62" s="11"/>
      <c r="N62" s="11"/>
      <c r="O62" s="11"/>
    </row>
    <row r="63" spans="1:15" ht="27" customHeight="1" x14ac:dyDescent="0.35">
      <c r="A63" s="194" t="s">
        <v>109</v>
      </c>
      <c r="B63" s="195"/>
      <c r="C63" s="195"/>
      <c r="D63" s="195"/>
      <c r="E63" s="195"/>
      <c r="F63" s="196"/>
      <c r="G63" s="22">
        <f>G28+G53+G61</f>
        <v>70248.180708333341</v>
      </c>
      <c r="I63" s="194" t="s">
        <v>109</v>
      </c>
      <c r="J63" s="195"/>
      <c r="K63" s="195"/>
      <c r="L63" s="195"/>
      <c r="M63" s="195"/>
      <c r="N63" s="196"/>
      <c r="O63" s="25">
        <f>O28+O53+O61</f>
        <v>0</v>
      </c>
    </row>
  </sheetData>
  <sheetProtection algorithmName="SHA-512" hashValue="WD6gGH2HBZYmVLtwabB8w/S4TGsaubSD1/80tSpfowiS+JuFU91BMPrY8AhJND2XdnVXS+fD+hG3IkwoaLfCeA==" saltValue="wWzpC4H2A0imc9CRMqZqDw==" spinCount="100000" sheet="1" selectLockedCells="1"/>
  <mergeCells count="18">
    <mergeCell ref="D3:K6"/>
    <mergeCell ref="A9:O9"/>
    <mergeCell ref="C11:D11"/>
    <mergeCell ref="K11:L11"/>
    <mergeCell ref="A19:C19"/>
    <mergeCell ref="I19:K19"/>
    <mergeCell ref="A63:F63"/>
    <mergeCell ref="I63:N63"/>
    <mergeCell ref="A20:B20"/>
    <mergeCell ref="I20:J20"/>
    <mergeCell ref="A30:C30"/>
    <mergeCell ref="I30:K30"/>
    <mergeCell ref="A31:B31"/>
    <mergeCell ref="I31:J31"/>
    <mergeCell ref="A55:C55"/>
    <mergeCell ref="I55:K55"/>
    <mergeCell ref="A56:B56"/>
    <mergeCell ref="I56:J56"/>
  </mergeCells>
  <dataValidations count="3">
    <dataValidation type="whole" allowBlank="1" showInputMessage="1" showErrorMessage="1" error="Introducir Unidades" sqref="I53 A56 I31 A20 A31 I28:I29 I20 I56 I61" xr:uid="{44033685-5BCF-45E5-9B5C-42B622D90914}">
      <formula1>1</formula1>
      <formula2>1000</formula2>
    </dataValidation>
    <dataValidation type="decimal" allowBlank="1" showInputMessage="1" showErrorMessage="1" error="Introducir Precio Unitario" sqref="N31 N56 F56 F20 F31 N20" xr:uid="{57234CD9-59CE-4CD4-A673-A6C3926FAC26}">
      <formula1>1</formula1>
      <formula2>100000</formula2>
    </dataValidation>
    <dataValidation type="decimal" allowBlank="1" showErrorMessage="1" error="Introducir Precio Unitario" sqref="N28:N30 N55 N53 N61" xr:uid="{2289E5A2-8879-4A2D-957E-3AA5EC3877FB}">
      <formula1>1</formula1>
      <formula2>100000</formula2>
    </dataValidation>
  </dataValidations>
  <hyperlinks>
    <hyperlink ref="H11" location="'Presupuesto Total'!A1" display="ÍNDICE" xr:uid="{9D48E555-10A7-4894-97BE-A7E6EED5B60E}"/>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809AB-B7DB-4E24-BFD2-A8DE8F1C34B6}">
  <dimension ref="A3:U74"/>
  <sheetViews>
    <sheetView showGridLines="0" topLeftCell="G64" zoomScale="85" zoomScaleNormal="85" workbookViewId="0">
      <selection activeCell="K69" activeCellId="7" sqref="I22:I33 K22:N33 I38:I50 K38:N50 I55:I64 K55:N64 I69:I71 K69:N71"/>
    </sheetView>
  </sheetViews>
  <sheetFormatPr baseColWidth="10" defaultColWidth="11.54296875" defaultRowHeight="14.5" x14ac:dyDescent="0.35"/>
  <cols>
    <col min="1" max="1" width="8.08984375" style="1" bestFit="1" customWidth="1"/>
    <col min="2" max="2" width="3" style="1" bestFit="1" customWidth="1"/>
    <col min="3" max="3" width="49.54296875" style="1" customWidth="1"/>
    <col min="4" max="4" width="18.90625" style="1" customWidth="1"/>
    <col min="5" max="5" width="51.08984375" style="1" customWidth="1"/>
    <col min="6" max="6" width="13.54296875" style="1" bestFit="1" customWidth="1"/>
    <col min="7" max="7" width="14.90625" style="1" bestFit="1" customWidth="1"/>
    <col min="8" max="9" width="11.54296875" style="1"/>
    <col min="10" max="10" width="3.453125" style="1" bestFit="1" customWidth="1"/>
    <col min="11" max="11" width="48.90625" style="1" bestFit="1" customWidth="1"/>
    <col min="12" max="12" width="19.453125" style="1" bestFit="1" customWidth="1"/>
    <col min="13" max="13" width="22.453125" style="1" customWidth="1"/>
    <col min="14" max="14" width="16" style="1" bestFit="1" customWidth="1"/>
    <col min="15" max="15" width="14.453125" style="1" bestFit="1" customWidth="1"/>
    <col min="16" max="16384" width="11.54296875" style="1"/>
  </cols>
  <sheetData>
    <row r="3" spans="1:21" ht="14.4" customHeight="1" x14ac:dyDescent="0.35">
      <c r="D3" s="201" t="s">
        <v>113</v>
      </c>
      <c r="E3" s="202"/>
      <c r="F3" s="202"/>
      <c r="G3" s="202"/>
      <c r="H3" s="202"/>
      <c r="I3" s="202"/>
      <c r="J3" s="202"/>
      <c r="K3" s="202"/>
      <c r="N3" s="23"/>
    </row>
    <row r="4" spans="1:21" ht="14.4" customHeight="1" x14ac:dyDescent="0.35">
      <c r="D4" s="201"/>
      <c r="E4" s="202"/>
      <c r="F4" s="202"/>
      <c r="G4" s="202"/>
      <c r="H4" s="202"/>
      <c r="I4" s="202"/>
      <c r="J4" s="202"/>
      <c r="K4" s="202"/>
      <c r="N4" s="23"/>
    </row>
    <row r="5" spans="1:21" ht="14.4" customHeight="1" x14ac:dyDescent="0.35">
      <c r="D5" s="201"/>
      <c r="E5" s="202"/>
      <c r="F5" s="202"/>
      <c r="G5" s="202"/>
      <c r="H5" s="202"/>
      <c r="I5" s="202"/>
      <c r="J5" s="202"/>
      <c r="K5" s="202"/>
      <c r="N5" s="23"/>
    </row>
    <row r="6" spans="1:21" ht="14.4" customHeight="1" x14ac:dyDescent="0.35">
      <c r="D6" s="201"/>
      <c r="E6" s="202"/>
      <c r="F6" s="202"/>
      <c r="G6" s="202"/>
      <c r="H6" s="202"/>
      <c r="I6" s="202"/>
      <c r="J6" s="202"/>
      <c r="K6" s="202"/>
      <c r="N6" s="23"/>
    </row>
    <row r="7" spans="1:21" ht="14.4" customHeight="1" x14ac:dyDescent="0.35">
      <c r="N7" s="23"/>
    </row>
    <row r="8" spans="1:21" ht="14.4" customHeight="1" x14ac:dyDescent="0.35">
      <c r="N8" s="23"/>
    </row>
    <row r="9" spans="1:21" ht="17.5" x14ac:dyDescent="0.35">
      <c r="A9" s="203"/>
      <c r="B9" s="203"/>
      <c r="C9" s="203"/>
      <c r="D9" s="203"/>
      <c r="E9" s="203"/>
      <c r="F9" s="203"/>
      <c r="G9" s="203"/>
      <c r="H9" s="203"/>
      <c r="I9" s="203"/>
      <c r="J9" s="203"/>
      <c r="K9" s="203"/>
      <c r="L9" s="203"/>
      <c r="M9" s="203"/>
      <c r="N9" s="203"/>
      <c r="O9" s="203"/>
    </row>
    <row r="10" spans="1:21" customFormat="1" ht="15" thickBot="1" x14ac:dyDescent="0.4">
      <c r="N10" s="1"/>
      <c r="O10" s="1"/>
    </row>
    <row r="11" spans="1:21" customFormat="1" ht="23.15" customHeight="1" thickBot="1" x14ac:dyDescent="0.4">
      <c r="C11" s="204" t="s">
        <v>16</v>
      </c>
      <c r="D11" s="205"/>
      <c r="E11" s="81"/>
      <c r="H11" s="45" t="s">
        <v>154</v>
      </c>
      <c r="I11" s="1"/>
      <c r="J11" s="1"/>
      <c r="K11" s="204" t="s">
        <v>15</v>
      </c>
      <c r="L11" s="205"/>
      <c r="M11" s="81"/>
      <c r="N11" s="1"/>
      <c r="O11" s="1"/>
      <c r="Q11" s="1"/>
      <c r="R11" s="1"/>
      <c r="S11" s="1"/>
      <c r="T11" s="1"/>
      <c r="U11" s="1"/>
    </row>
    <row r="12" spans="1:21" customFormat="1" x14ac:dyDescent="0.35">
      <c r="C12" s="1"/>
      <c r="D12" s="1"/>
      <c r="E12" s="82"/>
      <c r="F12" s="1"/>
      <c r="G12" s="1"/>
      <c r="I12" s="1"/>
      <c r="J12" s="1"/>
      <c r="K12" s="1"/>
      <c r="L12" s="1"/>
      <c r="M12" s="82"/>
      <c r="N12" s="1"/>
      <c r="O12" s="1"/>
      <c r="Q12" s="1"/>
      <c r="R12" s="1"/>
      <c r="S12" s="1"/>
      <c r="T12" s="1"/>
      <c r="U12" s="1"/>
    </row>
    <row r="13" spans="1:21" customFormat="1" ht="26" x14ac:dyDescent="0.35">
      <c r="C13" s="14" t="s">
        <v>112</v>
      </c>
      <c r="D13" s="14" t="s">
        <v>7</v>
      </c>
      <c r="E13" s="83"/>
      <c r="F13" s="1"/>
      <c r="G13" s="1"/>
      <c r="I13" s="1"/>
      <c r="J13" s="1"/>
      <c r="K13" s="14" t="s">
        <v>112</v>
      </c>
      <c r="L13" s="14" t="s">
        <v>17</v>
      </c>
      <c r="M13" s="83"/>
      <c r="N13" s="1"/>
      <c r="O13" s="1"/>
      <c r="Q13" s="1"/>
      <c r="R13" s="1"/>
      <c r="S13" s="1"/>
      <c r="T13" s="1"/>
      <c r="U13" s="1"/>
    </row>
    <row r="14" spans="1:21" customFormat="1" x14ac:dyDescent="0.35">
      <c r="C14" s="17" t="str">
        <f>A20</f>
        <v>1.- ATR</v>
      </c>
      <c r="D14" s="2">
        <f>G34</f>
        <v>9664.130236111112</v>
      </c>
      <c r="E14" s="61"/>
      <c r="F14" s="1"/>
      <c r="G14" s="1"/>
      <c r="I14" s="1"/>
      <c r="J14" s="1"/>
      <c r="K14" s="17" t="str">
        <f>I20</f>
        <v>1.- ATR</v>
      </c>
      <c r="L14" s="2">
        <f>O34</f>
        <v>0</v>
      </c>
      <c r="M14" s="61"/>
      <c r="N14" s="1"/>
      <c r="O14" s="1"/>
      <c r="Q14" s="1"/>
      <c r="R14" s="1"/>
      <c r="S14" s="1"/>
      <c r="T14" s="1"/>
      <c r="U14" s="1"/>
    </row>
    <row r="15" spans="1:21" customFormat="1" x14ac:dyDescent="0.35">
      <c r="C15" s="17" t="str">
        <f>A36</f>
        <v>2.- PARKING</v>
      </c>
      <c r="D15" s="3">
        <f>G51</f>
        <v>5296.4600000000009</v>
      </c>
      <c r="E15" s="62"/>
      <c r="F15" s="1"/>
      <c r="G15" s="1"/>
      <c r="I15" s="1"/>
      <c r="J15" s="1"/>
      <c r="K15" s="17" t="str">
        <f>I36</f>
        <v>2.- PARKING</v>
      </c>
      <c r="L15" s="3">
        <f>O51</f>
        <v>0</v>
      </c>
      <c r="M15" s="62"/>
      <c r="N15" s="1"/>
      <c r="O15" s="1"/>
      <c r="Q15" s="1"/>
      <c r="R15" s="1"/>
      <c r="S15" s="1"/>
      <c r="T15" s="1"/>
      <c r="U15" s="1"/>
    </row>
    <row r="16" spans="1:21" customFormat="1" x14ac:dyDescent="0.35">
      <c r="C16" s="17" t="str">
        <f>A53</f>
        <v>3.- COCHERA 2M</v>
      </c>
      <c r="D16" s="3">
        <f>G65</f>
        <v>5400.5599999999995</v>
      </c>
      <c r="E16" s="62"/>
      <c r="F16" s="1"/>
      <c r="G16" s="1"/>
      <c r="I16" s="1"/>
      <c r="J16" s="1"/>
      <c r="K16" s="17" t="str">
        <f>I53</f>
        <v>3.- COCHERA 2M</v>
      </c>
      <c r="L16" s="3">
        <f>O65</f>
        <v>0</v>
      </c>
      <c r="M16" s="62"/>
      <c r="N16" s="1"/>
      <c r="O16" s="1"/>
      <c r="Q16" s="1"/>
      <c r="R16" s="1"/>
      <c r="S16" s="1"/>
      <c r="T16" s="1"/>
      <c r="U16" s="1"/>
    </row>
    <row r="17" spans="1:21" customFormat="1" x14ac:dyDescent="0.35">
      <c r="C17" s="17" t="str">
        <f>A67</f>
        <v>4.- ACTUALIZACIÓN GRABADORES</v>
      </c>
      <c r="D17" s="3">
        <f>G72</f>
        <v>2268.5625000000005</v>
      </c>
      <c r="E17" s="62"/>
      <c r="F17" s="1"/>
      <c r="G17" s="1"/>
      <c r="I17" s="1"/>
      <c r="J17" s="1"/>
      <c r="K17" s="17" t="str">
        <f>I67</f>
        <v>4.- ACTUALIZACIÓN GRABADORES</v>
      </c>
      <c r="L17" s="3">
        <f>O72</f>
        <v>0</v>
      </c>
      <c r="M17" s="62"/>
      <c r="N17" s="1"/>
      <c r="O17" s="1"/>
      <c r="Q17" s="1"/>
      <c r="R17" s="1"/>
      <c r="S17" s="1"/>
      <c r="T17" s="1"/>
      <c r="U17" s="1"/>
    </row>
    <row r="18" spans="1:21" customFormat="1" ht="15.5" x14ac:dyDescent="0.35">
      <c r="C18" s="18" t="s">
        <v>8</v>
      </c>
      <c r="D18" s="21">
        <f>+SUM(D14:D17)</f>
        <v>22629.712736111112</v>
      </c>
      <c r="E18" s="63"/>
      <c r="F18" s="1"/>
      <c r="G18" s="1"/>
      <c r="I18" s="1"/>
      <c r="J18" s="1"/>
      <c r="K18" s="18" t="s">
        <v>8</v>
      </c>
      <c r="L18" s="21">
        <f>+SUM(L14:L17)</f>
        <v>0</v>
      </c>
      <c r="M18" s="63"/>
      <c r="N18" s="1"/>
      <c r="O18" s="1"/>
      <c r="Q18" s="1"/>
      <c r="R18" s="1"/>
      <c r="S18" s="1"/>
      <c r="T18" s="1"/>
      <c r="U18" s="1"/>
    </row>
    <row r="20" spans="1:21" ht="14.4" customHeight="1" x14ac:dyDescent="0.35">
      <c r="A20" s="198" t="s">
        <v>69</v>
      </c>
      <c r="B20" s="199"/>
      <c r="C20" s="200"/>
      <c r="D20" s="4"/>
      <c r="E20" s="4"/>
      <c r="F20" s="4"/>
      <c r="G20" s="5"/>
      <c r="I20" s="198" t="s">
        <v>69</v>
      </c>
      <c r="J20" s="199"/>
      <c r="K20" s="200"/>
      <c r="L20" s="87"/>
      <c r="M20" s="87"/>
      <c r="N20" s="4"/>
      <c r="O20" s="4"/>
    </row>
    <row r="21" spans="1:21" x14ac:dyDescent="0.35">
      <c r="A21" s="197" t="s">
        <v>0</v>
      </c>
      <c r="B21" s="197"/>
      <c r="C21" s="12" t="s">
        <v>13</v>
      </c>
      <c r="D21" s="12" t="s">
        <v>14</v>
      </c>
      <c r="E21" s="12" t="s">
        <v>256</v>
      </c>
      <c r="F21" s="12" t="s">
        <v>2</v>
      </c>
      <c r="G21" s="13" t="s">
        <v>7</v>
      </c>
      <c r="I21" s="197" t="s">
        <v>0</v>
      </c>
      <c r="J21" s="197"/>
      <c r="K21" s="12" t="s">
        <v>13</v>
      </c>
      <c r="L21" s="12" t="s">
        <v>14</v>
      </c>
      <c r="M21" s="12" t="s">
        <v>256</v>
      </c>
      <c r="N21" s="12" t="s">
        <v>2</v>
      </c>
      <c r="O21" s="13" t="s">
        <v>7</v>
      </c>
    </row>
    <row r="22" spans="1:21" ht="125" x14ac:dyDescent="0.35">
      <c r="A22" s="71">
        <v>3</v>
      </c>
      <c r="B22" s="72" t="s">
        <v>3</v>
      </c>
      <c r="C22" s="73" t="s">
        <v>72</v>
      </c>
      <c r="D22" s="72" t="str">
        <f>IF(C22&lt;&gt;"",VLOOKUP(C22,Preciario!$A$2:$D$66,2,FALSE),"")</f>
        <v>P3265LVE</v>
      </c>
      <c r="E22" s="73" t="str">
        <f>IF(C22&lt;&gt;"",VLOOKUP(C22,Preciario!$A$2:$D$66,3,FALSE),"")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22" s="24">
        <f>IF(C22&lt;&gt;"",VLOOKUP(C22,Preciario!$A$2:$D$66,4,FALSE),"")</f>
        <v>749</v>
      </c>
      <c r="G22" s="24">
        <f t="shared" ref="G22:G33" si="0">A22*F22</f>
        <v>2247</v>
      </c>
      <c r="I22" s="16"/>
      <c r="J22" s="6" t="s">
        <v>3</v>
      </c>
      <c r="K22" s="15"/>
      <c r="L22" s="15"/>
      <c r="M22" s="15"/>
      <c r="N22" s="15"/>
      <c r="O22" s="7">
        <f t="shared" ref="O22:O33" si="1">+N22*I22</f>
        <v>0</v>
      </c>
    </row>
    <row r="23" spans="1:21" ht="62.5" x14ac:dyDescent="0.35">
      <c r="A23" s="71">
        <v>3</v>
      </c>
      <c r="B23" s="72" t="s">
        <v>3</v>
      </c>
      <c r="C23" s="73" t="s">
        <v>266</v>
      </c>
      <c r="D23" s="72" t="str">
        <f>IF(C23&lt;&gt;"",VLOOKUP(C23,Preciario!$A$2:$D$66,2,FALSE),"")</f>
        <v>T91B47</v>
      </c>
      <c r="E23" s="73" t="str">
        <f>IF(C23&lt;&gt;"",VLOOKUP(C23,Preciario!$A$2:$D$66,3,FALSE),"")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23" s="24">
        <f>IF(C23&lt;&gt;"",VLOOKUP(C23,Preciario!$A$2:$D$66,4,FALSE),"")</f>
        <v>89</v>
      </c>
      <c r="G23" s="24">
        <f t="shared" si="0"/>
        <v>267</v>
      </c>
      <c r="I23" s="16"/>
      <c r="J23" s="6" t="s">
        <v>3</v>
      </c>
      <c r="K23" s="15"/>
      <c r="L23" s="15"/>
      <c r="M23" s="15"/>
      <c r="N23" s="15"/>
      <c r="O23" s="7">
        <f t="shared" ref="O23" si="2">+N23*I23</f>
        <v>0</v>
      </c>
    </row>
    <row r="24" spans="1:21" x14ac:dyDescent="0.35">
      <c r="A24" s="71">
        <v>3</v>
      </c>
      <c r="B24" s="72" t="s">
        <v>3</v>
      </c>
      <c r="C24" s="73" t="s">
        <v>31</v>
      </c>
      <c r="D24" s="72" t="str">
        <f>IF(C24&lt;&gt;"",VLOOKUP(C24,Preciario!$A$2:$D$66,2,FALSE),"")</f>
        <v>LIC_CAM</v>
      </c>
      <c r="E24" s="73" t="str">
        <f>IF(C24&lt;&gt;"",VLOOKUP(C24,Preciario!$A$2:$D$66,3,FALSE),"")</f>
        <v xml:space="preserve">Licenciamiento de cámara en servidor </v>
      </c>
      <c r="F24" s="24">
        <f>IF(C24&lt;&gt;"",VLOOKUP(C24,Preciario!$A$2:$D$66,4,FALSE),"")</f>
        <v>159.05000000000001</v>
      </c>
      <c r="G24" s="24">
        <f t="shared" si="0"/>
        <v>477.15000000000003</v>
      </c>
      <c r="I24" s="16"/>
      <c r="J24" s="6" t="s">
        <v>3</v>
      </c>
      <c r="K24" s="15"/>
      <c r="L24" s="15"/>
      <c r="M24" s="15"/>
      <c r="N24" s="15"/>
      <c r="O24" s="7">
        <f t="shared" si="1"/>
        <v>0</v>
      </c>
    </row>
    <row r="25" spans="1:21" ht="112.5" x14ac:dyDescent="0.35">
      <c r="A25" s="71">
        <v>1</v>
      </c>
      <c r="B25" s="72" t="s">
        <v>3</v>
      </c>
      <c r="C25" s="73" t="s">
        <v>236</v>
      </c>
      <c r="D25" s="72" t="str">
        <f>IF(C25&lt;&gt;"",VLOOKUP(C25,Preciario!$A$2:$D$66,2,FALSE),"")</f>
        <v>IGS-5225-8P2S2X</v>
      </c>
      <c r="E25" s="73" t="str">
        <f>IF(C25&lt;&gt;"",VLOOKUP(C25,Preciario!$A$2:$D$66,3,FALSE),"")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25" s="24">
        <f>IF(C25&lt;&gt;"",VLOOKUP(C25,Preciario!$A$2:$D$66,4,FALSE),"")</f>
        <v>957.6</v>
      </c>
      <c r="G25" s="24">
        <f t="shared" si="0"/>
        <v>957.6</v>
      </c>
      <c r="I25" s="16"/>
      <c r="J25" s="6" t="s">
        <v>3</v>
      </c>
      <c r="K25" s="15"/>
      <c r="L25" s="15"/>
      <c r="M25" s="15"/>
      <c r="N25" s="15"/>
      <c r="O25" s="7">
        <f t="shared" si="1"/>
        <v>0</v>
      </c>
    </row>
    <row r="26" spans="1:21" ht="150" x14ac:dyDescent="0.35">
      <c r="A26" s="71">
        <v>1</v>
      </c>
      <c r="B26" s="72" t="s">
        <v>3</v>
      </c>
      <c r="C26" s="73" t="s">
        <v>42</v>
      </c>
      <c r="D26" s="72" t="str">
        <f>IF(C26&lt;&gt;"",VLOOKUP(C26,Preciario!$A$2:$D$66,2,FALSE),"")</f>
        <v>AM60x40</v>
      </c>
      <c r="E26" s="73" t="str">
        <f>IF(C26&lt;&gt;"",VLOOKUP(C26,Preciario!$A$2:$D$66,3,FALSE),"")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26" s="24">
        <f>IF(C26&lt;&gt;"",VLOOKUP(C26,Preciario!$A$2:$D$66,4,FALSE),"")</f>
        <v>862.465236111114</v>
      </c>
      <c r="G26" s="24">
        <f t="shared" si="0"/>
        <v>862.465236111114</v>
      </c>
      <c r="I26" s="16"/>
      <c r="J26" s="6" t="s">
        <v>3</v>
      </c>
      <c r="K26" s="15"/>
      <c r="L26" s="15"/>
      <c r="M26" s="15"/>
      <c r="N26" s="15"/>
      <c r="O26" s="7">
        <f t="shared" si="1"/>
        <v>0</v>
      </c>
    </row>
    <row r="27" spans="1:21" x14ac:dyDescent="0.35">
      <c r="A27" s="71">
        <v>2</v>
      </c>
      <c r="B27" s="72" t="s">
        <v>3</v>
      </c>
      <c r="C27" s="73" t="s">
        <v>43</v>
      </c>
      <c r="D27" s="72" t="str">
        <f>IF(C27&lt;&gt;"",VLOOKUP(C27,Preciario!$A$2:$D$66,2,FALSE),"")</f>
        <v>CAJA_15X15</v>
      </c>
      <c r="E27" s="73" t="str">
        <f>IF(C27&lt;&gt;"",VLOOKUP(C27,Preciario!$A$2:$D$66,3,FALSE),"")</f>
        <v>Caja metálica 150x150mm</v>
      </c>
      <c r="F27" s="24">
        <f>IF(C27&lt;&gt;"",VLOOKUP(C27,Preciario!$A$2:$D$66,4,FALSE),"")</f>
        <v>45</v>
      </c>
      <c r="G27" s="24">
        <f t="shared" si="0"/>
        <v>90</v>
      </c>
      <c r="I27" s="16"/>
      <c r="J27" s="6" t="s">
        <v>3</v>
      </c>
      <c r="K27" s="15"/>
      <c r="L27" s="15"/>
      <c r="M27" s="15"/>
      <c r="N27" s="15"/>
      <c r="O27" s="7">
        <f t="shared" si="1"/>
        <v>0</v>
      </c>
    </row>
    <row r="28" spans="1:21" ht="25" x14ac:dyDescent="0.35">
      <c r="A28" s="71">
        <v>80</v>
      </c>
      <c r="B28" s="72" t="s">
        <v>10</v>
      </c>
      <c r="C28" s="73" t="s">
        <v>274</v>
      </c>
      <c r="D28" s="72" t="str">
        <f>IF(C28&lt;&gt;"",VLOOKUP(C28,Preciario!$A$2:$D$66,2,FALSE),"")</f>
        <v>TUBAC20</v>
      </c>
      <c r="E28" s="73" t="str">
        <f>IF(C28&lt;&gt;"",VLOOKUP(C28,Preciario!$A$2:$D$66,3,FALSE),"")</f>
        <v>Suministro e instalación Tubo acero M20, p.p mano de obra y accesorios</v>
      </c>
      <c r="F28" s="24">
        <f>IF(C28&lt;&gt;"",VLOOKUP(C28,Preciario!$A$2:$D$66,4,FALSE),"")</f>
        <v>15.37</v>
      </c>
      <c r="G28" s="24">
        <f t="shared" si="0"/>
        <v>1229.5999999999999</v>
      </c>
      <c r="I28" s="16"/>
      <c r="J28" s="6" t="s">
        <v>10</v>
      </c>
      <c r="K28" s="15"/>
      <c r="L28" s="15"/>
      <c r="M28" s="15"/>
      <c r="N28" s="15"/>
      <c r="O28" s="7">
        <f t="shared" si="1"/>
        <v>0</v>
      </c>
    </row>
    <row r="29" spans="1:21" ht="25" x14ac:dyDescent="0.35">
      <c r="A29" s="71">
        <v>60</v>
      </c>
      <c r="B29" s="72" t="s">
        <v>10</v>
      </c>
      <c r="C29" s="73" t="s">
        <v>273</v>
      </c>
      <c r="D29" s="72" t="str">
        <f>IF(C29&lt;&gt;"",VLOOKUP(C29,Preciario!$A$2:$D$66,2,FALSE),"")</f>
        <v>TUBAC32</v>
      </c>
      <c r="E29" s="73" t="str">
        <f>IF(C29&lt;&gt;"",VLOOKUP(C29,Preciario!$A$2:$D$66,3,FALSE),"")</f>
        <v>Suministro e instalación de tubo acero M32, p.p mano de obra y accesorios</v>
      </c>
      <c r="F29" s="24">
        <f>IF(C29&lt;&gt;"",VLOOKUP(C29,Preciario!$A$2:$D$66,4,FALSE),"")</f>
        <v>24.78</v>
      </c>
      <c r="G29" s="24">
        <f t="shared" si="0"/>
        <v>1486.8000000000002</v>
      </c>
      <c r="I29" s="16"/>
      <c r="J29" s="6" t="s">
        <v>10</v>
      </c>
      <c r="K29" s="15"/>
      <c r="L29" s="15"/>
      <c r="M29" s="15"/>
      <c r="N29" s="15"/>
      <c r="O29" s="7">
        <f t="shared" si="1"/>
        <v>0</v>
      </c>
    </row>
    <row r="30" spans="1:21" ht="25" x14ac:dyDescent="0.35">
      <c r="A30" s="71">
        <v>60</v>
      </c>
      <c r="B30" s="72" t="s">
        <v>10</v>
      </c>
      <c r="C30" s="73" t="s">
        <v>276</v>
      </c>
      <c r="D30" s="72" t="str">
        <f>IF(C30&lt;&gt;"",VLOOKUP(C30,Preciario!$A$2:$D$66,2,FALSE),"")</f>
        <v>C_ELE_3X1,5</v>
      </c>
      <c r="E30" s="73" t="str">
        <f>IF(C30&lt;&gt;"",VLOOKUP(C30,Preciario!$A$2:$D$66,3,FALSE),"")</f>
        <v>Suministro e instalación de manguera exterior RZ1-K 3x1,5mm</v>
      </c>
      <c r="F30" s="24">
        <f>IF(C30&lt;&gt;"",VLOOKUP(C30,Preciario!$A$2:$D$66,4,FALSE),"")</f>
        <v>3.5</v>
      </c>
      <c r="G30" s="24">
        <f t="shared" si="0"/>
        <v>210</v>
      </c>
      <c r="I30" s="16"/>
      <c r="J30" s="6" t="s">
        <v>10</v>
      </c>
      <c r="K30" s="15"/>
      <c r="L30" s="15"/>
      <c r="M30" s="15"/>
      <c r="N30" s="15"/>
      <c r="O30" s="7">
        <f t="shared" si="1"/>
        <v>0</v>
      </c>
    </row>
    <row r="31" spans="1:21" ht="62.5" x14ac:dyDescent="0.35">
      <c r="A31" s="71">
        <v>200</v>
      </c>
      <c r="B31" s="72" t="s">
        <v>10</v>
      </c>
      <c r="C31" s="73" t="s">
        <v>277</v>
      </c>
      <c r="D31" s="72" t="str">
        <f>IF(C31&lt;&gt;"",VLOOKUP(C31,Preciario!$A$2:$D$66,2,FALSE),"")</f>
        <v>FTP_CAT6A/CAT7</v>
      </c>
      <c r="E31" s="73" t="str">
        <f>IF(C31&lt;&gt;"",VLOOKUP(C31,Preciario!$A$2:$D$66,3,FALSE),"")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31" s="24">
        <f>IF(C31&lt;&gt;"",VLOOKUP(C31,Preciario!$A$2:$D$66,4,FALSE),"")</f>
        <v>4.8</v>
      </c>
      <c r="G31" s="24">
        <f t="shared" si="0"/>
        <v>960</v>
      </c>
      <c r="I31" s="16"/>
      <c r="J31" s="6" t="s">
        <v>10</v>
      </c>
      <c r="K31" s="15"/>
      <c r="L31" s="15"/>
      <c r="M31" s="15"/>
      <c r="N31" s="15"/>
      <c r="O31" s="7">
        <f t="shared" ref="O31:O32" si="3">+N31*I31</f>
        <v>0</v>
      </c>
    </row>
    <row r="32" spans="1:21" ht="25" x14ac:dyDescent="0.35">
      <c r="A32" s="71">
        <f>'Presupuesto Total'!D32</f>
        <v>1</v>
      </c>
      <c r="B32" s="72" t="s">
        <v>11</v>
      </c>
      <c r="C32" s="73" t="s">
        <v>163</v>
      </c>
      <c r="D32" s="72" t="s">
        <v>164</v>
      </c>
      <c r="E32" s="73" t="str">
        <f>IF(C32&lt;&gt;"",VLOOKUP(C32,Preciario!$A$2:$D$66,3,FALSE),"")</f>
        <v>Partida ayudas auxiliares en equipamiento y mano de obra en sistemas de energía</v>
      </c>
      <c r="F32" s="91">
        <v>438.25750000000011</v>
      </c>
      <c r="G32" s="91">
        <f t="shared" si="0"/>
        <v>438.25750000000011</v>
      </c>
      <c r="I32" s="16"/>
      <c r="J32" s="6" t="s">
        <v>11</v>
      </c>
      <c r="K32" s="15"/>
      <c r="L32" s="15"/>
      <c r="M32" s="15"/>
      <c r="N32" s="15"/>
      <c r="O32" s="7">
        <f t="shared" si="3"/>
        <v>0</v>
      </c>
    </row>
    <row r="33" spans="1:15" ht="25" x14ac:dyDescent="0.35">
      <c r="A33" s="71">
        <f>'Presupuesto Total'!D33</f>
        <v>1</v>
      </c>
      <c r="B33" s="72" t="s">
        <v>11</v>
      </c>
      <c r="C33" s="73" t="s">
        <v>185</v>
      </c>
      <c r="D33" s="72" t="s">
        <v>162</v>
      </c>
      <c r="E33" s="73" t="str">
        <f>IF(C33&lt;&gt;"",VLOOKUP(C33,Preciario!$A$2:$D$66,3,FALSE),"")</f>
        <v>Partida ayudas auxiliares en equipamiento y mano de obra en albañilería</v>
      </c>
      <c r="F33" s="91">
        <v>438.25750000000011</v>
      </c>
      <c r="G33" s="91">
        <f t="shared" si="0"/>
        <v>438.25750000000011</v>
      </c>
      <c r="I33" s="16"/>
      <c r="J33" s="6" t="s">
        <v>11</v>
      </c>
      <c r="K33" s="15"/>
      <c r="L33" s="15"/>
      <c r="M33" s="15"/>
      <c r="N33" s="15"/>
      <c r="O33" s="7">
        <f t="shared" si="1"/>
        <v>0</v>
      </c>
    </row>
    <row r="34" spans="1:15" x14ac:dyDescent="0.35">
      <c r="A34" s="8"/>
      <c r="B34" s="8"/>
      <c r="C34" s="9"/>
      <c r="D34" s="160"/>
      <c r="E34" s="9"/>
      <c r="F34" s="19" t="s">
        <v>4</v>
      </c>
      <c r="G34" s="20">
        <f>SUM(G22:G33)</f>
        <v>9664.130236111112</v>
      </c>
      <c r="I34" s="8"/>
      <c r="J34" s="8"/>
      <c r="K34" s="9"/>
      <c r="L34" s="9"/>
      <c r="M34" s="9"/>
      <c r="N34" s="19" t="s">
        <v>4</v>
      </c>
      <c r="O34" s="20">
        <f>SUM(O22:O33)</f>
        <v>0</v>
      </c>
    </row>
    <row r="35" spans="1:15" x14ac:dyDescent="0.35">
      <c r="A35" s="10"/>
      <c r="B35" s="10"/>
      <c r="C35" s="11"/>
      <c r="D35" s="11"/>
      <c r="E35" s="11"/>
      <c r="F35" s="11"/>
      <c r="G35" s="11"/>
      <c r="I35" s="10"/>
      <c r="J35" s="10"/>
      <c r="K35" s="11"/>
      <c r="L35" s="11"/>
      <c r="M35" s="11"/>
      <c r="N35" s="11"/>
      <c r="O35" s="11"/>
    </row>
    <row r="36" spans="1:15" ht="14.4" customHeight="1" x14ac:dyDescent="0.35">
      <c r="A36" s="198" t="s">
        <v>114</v>
      </c>
      <c r="B36" s="199"/>
      <c r="C36" s="200"/>
      <c r="D36" s="4"/>
      <c r="E36" s="4"/>
      <c r="F36" s="4"/>
      <c r="G36" s="5"/>
      <c r="I36" s="198" t="s">
        <v>114</v>
      </c>
      <c r="J36" s="199"/>
      <c r="K36" s="200"/>
      <c r="L36" s="87"/>
      <c r="M36" s="87"/>
      <c r="N36" s="4"/>
      <c r="O36" s="4"/>
    </row>
    <row r="37" spans="1:15" x14ac:dyDescent="0.35">
      <c r="A37" s="197" t="s">
        <v>0</v>
      </c>
      <c r="B37" s="197"/>
      <c r="C37" s="12" t="s">
        <v>13</v>
      </c>
      <c r="D37" s="12" t="s">
        <v>14</v>
      </c>
      <c r="E37" s="12" t="s">
        <v>256</v>
      </c>
      <c r="F37" s="12" t="s">
        <v>2</v>
      </c>
      <c r="G37" s="13" t="s">
        <v>7</v>
      </c>
      <c r="I37" s="197" t="s">
        <v>0</v>
      </c>
      <c r="J37" s="197"/>
      <c r="K37" s="12" t="s">
        <v>13</v>
      </c>
      <c r="L37" s="12" t="s">
        <v>14</v>
      </c>
      <c r="M37" s="12" t="s">
        <v>256</v>
      </c>
      <c r="N37" s="12" t="s">
        <v>2</v>
      </c>
      <c r="O37" s="13" t="s">
        <v>7</v>
      </c>
    </row>
    <row r="38" spans="1:15" ht="125" x14ac:dyDescent="0.35">
      <c r="A38" s="71">
        <v>2</v>
      </c>
      <c r="B38" s="72" t="s">
        <v>3</v>
      </c>
      <c r="C38" s="73" t="s">
        <v>72</v>
      </c>
      <c r="D38" s="72" t="str">
        <f>IF(C38&lt;&gt;"",VLOOKUP(C38,Preciario!$A$2:$D$66,2,FALSE),"")</f>
        <v>P3265LVE</v>
      </c>
      <c r="E38" s="73" t="str">
        <f>IF(C38&lt;&gt;"",VLOOKUP(C38,Preciario!$A$2:$D$66,3,FALSE),"")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38" s="24">
        <f>IF(C38&lt;&gt;"",VLOOKUP(C38,Preciario!$A$2:$D$66,4,FALSE),"")</f>
        <v>749</v>
      </c>
      <c r="G38" s="24">
        <f t="shared" ref="G38:G50" si="4">A38*F38</f>
        <v>1498</v>
      </c>
      <c r="I38" s="16"/>
      <c r="J38" s="6" t="s">
        <v>3</v>
      </c>
      <c r="K38" s="15"/>
      <c r="L38" s="15"/>
      <c r="M38" s="15"/>
      <c r="N38" s="15"/>
      <c r="O38" s="7">
        <f t="shared" ref="O38:O50" si="5">+N38*I38</f>
        <v>0</v>
      </c>
    </row>
    <row r="39" spans="1:15" ht="62.5" x14ac:dyDescent="0.35">
      <c r="A39" s="71">
        <v>2</v>
      </c>
      <c r="B39" s="72" t="s">
        <v>3</v>
      </c>
      <c r="C39" s="73" t="s">
        <v>266</v>
      </c>
      <c r="D39" s="72" t="str">
        <f>IF(C39&lt;&gt;"",VLOOKUP(C39,Preciario!$A$2:$D$66,2,FALSE),"")</f>
        <v>T91B47</v>
      </c>
      <c r="E39" s="73" t="str">
        <f>IF(C39&lt;&gt;"",VLOOKUP(C39,Preciario!$A$2:$D$66,3,FALSE),"")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39" s="24">
        <f>IF(C39&lt;&gt;"",VLOOKUP(C39,Preciario!$A$2:$D$66,4,FALSE),"")</f>
        <v>89</v>
      </c>
      <c r="G39" s="24">
        <f t="shared" si="4"/>
        <v>178</v>
      </c>
      <c r="I39" s="16"/>
      <c r="J39" s="6" t="s">
        <v>3</v>
      </c>
      <c r="K39" s="15"/>
      <c r="L39" s="15"/>
      <c r="M39" s="15"/>
      <c r="N39" s="15"/>
      <c r="O39" s="7">
        <f t="shared" ref="O39" si="6">+N39*I39</f>
        <v>0</v>
      </c>
    </row>
    <row r="40" spans="1:15" x14ac:dyDescent="0.35">
      <c r="A40" s="71">
        <v>2</v>
      </c>
      <c r="B40" s="72" t="s">
        <v>3</v>
      </c>
      <c r="C40" s="73" t="s">
        <v>31</v>
      </c>
      <c r="D40" s="72" t="str">
        <f>IF(C40&lt;&gt;"",VLOOKUP(C40,Preciario!$A$2:$D$66,2,FALSE),"")</f>
        <v>LIC_CAM</v>
      </c>
      <c r="E40" s="73" t="str">
        <f>IF(C40&lt;&gt;"",VLOOKUP(C40,Preciario!$A$2:$D$66,3,FALSE),"")</f>
        <v xml:space="preserve">Licenciamiento de cámara en servidor </v>
      </c>
      <c r="F40" s="24">
        <f>IF(C40&lt;&gt;"",VLOOKUP(C40,Preciario!$A$2:$D$66,4,FALSE),"")</f>
        <v>159.05000000000001</v>
      </c>
      <c r="G40" s="24">
        <f t="shared" si="4"/>
        <v>318.10000000000002</v>
      </c>
      <c r="I40" s="16"/>
      <c r="J40" s="6" t="s">
        <v>3</v>
      </c>
      <c r="K40" s="15"/>
      <c r="L40" s="15"/>
      <c r="M40" s="15"/>
      <c r="N40" s="15"/>
      <c r="O40" s="7">
        <f t="shared" si="5"/>
        <v>0</v>
      </c>
    </row>
    <row r="41" spans="1:15" ht="87.5" x14ac:dyDescent="0.35">
      <c r="A41" s="71">
        <v>1</v>
      </c>
      <c r="B41" s="72" t="s">
        <v>3</v>
      </c>
      <c r="C41" s="73" t="s">
        <v>190</v>
      </c>
      <c r="D41" s="72" t="str">
        <f>IF(C41&lt;&gt;"",VLOOKUP(C41,Preciario!$A$2:$D$66,2,FALSE),"")</f>
        <v>DE.3001</v>
      </c>
      <c r="E41" s="73" t="str">
        <f>IF(C41&lt;&gt;"",VLOOKUP(C41,Preciario!$A$2:$D$66,3,FALSE),"")</f>
        <v xml:space="preserve">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 Incluida instalación y configuración. </v>
      </c>
      <c r="F41" s="24">
        <f>IF(C41&lt;&gt;"",VLOOKUP(C41,Preciario!$A$2:$D$66,4,FALSE),"")</f>
        <v>392</v>
      </c>
      <c r="G41" s="24">
        <f t="shared" si="4"/>
        <v>392</v>
      </c>
      <c r="I41" s="16"/>
      <c r="J41" s="6" t="s">
        <v>3</v>
      </c>
      <c r="K41" s="15"/>
      <c r="L41" s="15"/>
      <c r="M41" s="15"/>
      <c r="N41" s="15"/>
      <c r="O41" s="7">
        <f t="shared" si="5"/>
        <v>0</v>
      </c>
    </row>
    <row r="42" spans="1:15" ht="50" x14ac:dyDescent="0.35">
      <c r="A42" s="71">
        <v>1</v>
      </c>
      <c r="B42" s="72" t="s">
        <v>3</v>
      </c>
      <c r="C42" s="73" t="s">
        <v>189</v>
      </c>
      <c r="D42" s="72" t="str">
        <f>IF(C42&lt;&gt;"",VLOOKUP(C42,Preciario!$A$2:$D$66,2,FALSE),"")</f>
        <v>ACAP PER_DEF</v>
      </c>
      <c r="E42" s="73" t="str">
        <f>IF(C42&lt;&gt;"",VLOOKUP(C42,Preciario!$A$2:$D$66,3,FALSE),"")</f>
        <v xml:space="preserve">Licencia de unidad única para AXIS Perimeter Defender, una aplicación de análisis de video escalable y flexible para vigilancia y protección perimetral. Incluida instalación y configuración. </v>
      </c>
      <c r="F42" s="24">
        <f>IF(C42&lt;&gt;"",VLOOKUP(C42,Preciario!$A$2:$D$66,4,FALSE),"")</f>
        <v>299</v>
      </c>
      <c r="G42" s="24">
        <f t="shared" si="4"/>
        <v>299</v>
      </c>
      <c r="I42" s="16"/>
      <c r="J42" s="6" t="s">
        <v>3</v>
      </c>
      <c r="K42" s="15"/>
      <c r="L42" s="15"/>
      <c r="M42" s="15"/>
      <c r="N42" s="15"/>
      <c r="O42" s="7">
        <f t="shared" si="5"/>
        <v>0</v>
      </c>
    </row>
    <row r="43" spans="1:15" x14ac:dyDescent="0.35">
      <c r="A43" s="71">
        <v>1</v>
      </c>
      <c r="B43" s="72" t="s">
        <v>3</v>
      </c>
      <c r="C43" s="73" t="s">
        <v>43</v>
      </c>
      <c r="D43" s="72" t="str">
        <f>IF(C43&lt;&gt;"",VLOOKUP(C43,Preciario!$A$2:$D$66,2,FALSE),"")</f>
        <v>CAJA_15X15</v>
      </c>
      <c r="E43" s="73" t="str">
        <f>IF(C43&lt;&gt;"",VLOOKUP(C43,Preciario!$A$2:$D$66,3,FALSE),"")</f>
        <v>Caja metálica 150x150mm</v>
      </c>
      <c r="F43" s="24">
        <f>IF(C43&lt;&gt;"",VLOOKUP(C43,Preciario!$A$2:$D$66,4,FALSE),"")</f>
        <v>45</v>
      </c>
      <c r="G43" s="24">
        <f t="shared" si="4"/>
        <v>45</v>
      </c>
      <c r="I43" s="16"/>
      <c r="J43" s="6" t="s">
        <v>3</v>
      </c>
      <c r="K43" s="15"/>
      <c r="L43" s="15"/>
      <c r="M43" s="15"/>
      <c r="N43" s="15"/>
      <c r="O43" s="7">
        <f t="shared" si="5"/>
        <v>0</v>
      </c>
    </row>
    <row r="44" spans="1:15" ht="25" x14ac:dyDescent="0.35">
      <c r="A44" s="71">
        <v>50</v>
      </c>
      <c r="B44" s="72" t="s">
        <v>10</v>
      </c>
      <c r="C44" s="73" t="s">
        <v>274</v>
      </c>
      <c r="D44" s="72" t="str">
        <f>IF(C44&lt;&gt;"",VLOOKUP(C44,Preciario!$A$2:$D$66,2,FALSE),"")</f>
        <v>TUBAC20</v>
      </c>
      <c r="E44" s="73" t="str">
        <f>IF(C44&lt;&gt;"",VLOOKUP(C44,Preciario!$A$2:$D$66,3,FALSE),"")</f>
        <v>Suministro e instalación Tubo acero M20, p.p mano de obra y accesorios</v>
      </c>
      <c r="F44" s="24">
        <f>IF(C44&lt;&gt;"",VLOOKUP(C44,Preciario!$A$2:$D$66,4,FALSE),"")</f>
        <v>15.37</v>
      </c>
      <c r="G44" s="24">
        <f t="shared" si="4"/>
        <v>768.5</v>
      </c>
      <c r="I44" s="16"/>
      <c r="J44" s="6" t="s">
        <v>10</v>
      </c>
      <c r="K44" s="15"/>
      <c r="L44" s="15"/>
      <c r="M44" s="15"/>
      <c r="N44" s="15"/>
      <c r="O44" s="7">
        <f t="shared" si="5"/>
        <v>0</v>
      </c>
    </row>
    <row r="45" spans="1:15" ht="62.5" x14ac:dyDescent="0.35">
      <c r="A45" s="71">
        <v>100</v>
      </c>
      <c r="B45" s="72" t="s">
        <v>10</v>
      </c>
      <c r="C45" s="73" t="s">
        <v>277</v>
      </c>
      <c r="D45" s="72" t="str">
        <f>IF(C45&lt;&gt;"",VLOOKUP(C45,Preciario!$A$2:$D$66,2,FALSE),"")</f>
        <v>FTP_CAT6A/CAT7</v>
      </c>
      <c r="E45" s="73" t="str">
        <f>IF(C45&lt;&gt;"",VLOOKUP(C45,Preciario!$A$2:$D$66,3,FALSE),"")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45" s="24">
        <f>IF(C45&lt;&gt;"",VLOOKUP(C45,Preciario!$A$2:$D$66,4,FALSE),"")</f>
        <v>4.8</v>
      </c>
      <c r="G45" s="24">
        <f t="shared" si="4"/>
        <v>480</v>
      </c>
      <c r="I45" s="16"/>
      <c r="J45" s="6" t="s">
        <v>10</v>
      </c>
      <c r="K45" s="15"/>
      <c r="L45" s="15"/>
      <c r="M45" s="15"/>
      <c r="N45" s="15"/>
      <c r="O45" s="7">
        <f t="shared" si="5"/>
        <v>0</v>
      </c>
    </row>
    <row r="46" spans="1:15" ht="37.5" x14ac:dyDescent="0.35">
      <c r="A46" s="71">
        <v>1</v>
      </c>
      <c r="B46" s="72" t="s">
        <v>3</v>
      </c>
      <c r="C46" s="73" t="s">
        <v>286</v>
      </c>
      <c r="D46" s="72" t="str">
        <f>IF(C46&lt;&gt;"",VLOOKUP(C46,Preciario!$A$2:$D$66,2,FALSE),"")</f>
        <v>Río</v>
      </c>
      <c r="E46" s="73" t="str">
        <f>IF(C46&lt;&gt;"",VLOOKUP(C46,Preciario!$A$2:$D$66,3,FALSE),"")</f>
        <v>Módulo expansor de zonas, para ampliación de la capacidad de entradas de la central de intrusión ofertada. Incluida fuente de alimentación y batería</v>
      </c>
      <c r="F46" s="24">
        <f>IF(C46&lt;&gt;"",VLOOKUP(C46,Preciario!$A$2:$D$66,4,FALSE),"")</f>
        <v>350</v>
      </c>
      <c r="G46" s="24">
        <f t="shared" si="4"/>
        <v>350</v>
      </c>
      <c r="H46" s="49"/>
      <c r="I46" s="16"/>
      <c r="J46" s="6" t="s">
        <v>3</v>
      </c>
      <c r="K46" s="15"/>
      <c r="L46" s="15"/>
      <c r="M46" s="15"/>
      <c r="N46" s="15"/>
      <c r="O46" s="7">
        <f t="shared" si="5"/>
        <v>0</v>
      </c>
    </row>
    <row r="47" spans="1:15" ht="112.4" customHeight="1" x14ac:dyDescent="0.35">
      <c r="A47" s="71">
        <v>1</v>
      </c>
      <c r="B47" s="72" t="s">
        <v>3</v>
      </c>
      <c r="C47" s="73" t="s">
        <v>289</v>
      </c>
      <c r="D47" s="72" t="str">
        <f>IF(C47&lt;&gt;"",VLOOKUP(C47,Preciario!$A$2:$D$66,2,FALSE),"")</f>
        <v>MOXA Iologik E1214</v>
      </c>
      <c r="E47" s="73" t="str">
        <f>IF(C47&lt;&gt;"",VLOOKUP(C47,Preciario!$A$2:$D$66,3,FALSE),"")</f>
        <v>Módulo de E/S digitales Ethernet. Seis puertos de entrada digital y 6 puertos de salida digital mediante Relé. Entradas digitales: 6 canales. Relés: 6 canales. Aislamiento: 3k VDC o 2k Vrms. Tipo de sensor: contacto húmedo (NPN o PNP), contacto seco. Modo I/O: DI o contador de eventos. Contacto seco: Encendido: corto a GND. Apagado: abierto. Contacto húmedo (DI a COM): Encendido: 10 a 30 VCC. Apagado: 0 a 3 VCC. Según características descritas en PPT.</v>
      </c>
      <c r="F47" s="24">
        <f>IF(C47&lt;&gt;"",VLOOKUP(C47,Preciario!$A$2:$D$66,4,FALSE),"")</f>
        <v>300</v>
      </c>
      <c r="G47" s="24">
        <f t="shared" si="4"/>
        <v>300</v>
      </c>
      <c r="H47" s="49"/>
      <c r="I47" s="16"/>
      <c r="J47" s="6" t="s">
        <v>3</v>
      </c>
      <c r="K47" s="15"/>
      <c r="L47" s="15"/>
      <c r="M47" s="15"/>
      <c r="N47" s="15"/>
      <c r="O47" s="7">
        <f t="shared" si="5"/>
        <v>0</v>
      </c>
    </row>
    <row r="48" spans="1:15" ht="25" x14ac:dyDescent="0.35">
      <c r="A48" s="71">
        <v>1</v>
      </c>
      <c r="B48" s="72" t="s">
        <v>11</v>
      </c>
      <c r="C48" s="73" t="s">
        <v>307</v>
      </c>
      <c r="D48" s="72" t="s">
        <v>164</v>
      </c>
      <c r="E48" s="73" t="str">
        <f>IF(C48&lt;&gt;"",VLOOKUP(C48,Preciario!$A$2:$D$66,3,FALSE),"")</f>
        <v>Partida de mano de obra para configuración módulos IO en abonado CRA</v>
      </c>
      <c r="F48" s="24">
        <v>175</v>
      </c>
      <c r="G48" s="24">
        <f t="shared" si="4"/>
        <v>175</v>
      </c>
      <c r="I48" s="16"/>
      <c r="J48" s="6" t="s">
        <v>11</v>
      </c>
      <c r="K48" s="15"/>
      <c r="L48" s="15"/>
      <c r="M48" s="15"/>
      <c r="N48" s="15"/>
      <c r="O48" s="7">
        <f t="shared" si="5"/>
        <v>0</v>
      </c>
    </row>
    <row r="49" spans="1:15" ht="25" x14ac:dyDescent="0.35">
      <c r="A49" s="71">
        <f>'Presupuesto Total'!D32</f>
        <v>1</v>
      </c>
      <c r="B49" s="72" t="s">
        <v>11</v>
      </c>
      <c r="C49" s="73" t="s">
        <v>163</v>
      </c>
      <c r="D49" s="72" t="s">
        <v>164</v>
      </c>
      <c r="E49" s="73" t="str">
        <f>IF(C49&lt;&gt;"",VLOOKUP(C49,Preciario!$A$2:$D$66,3,FALSE),"")</f>
        <v>Partida ayudas auxiliares en equipamiento y mano de obra en sistemas de energía</v>
      </c>
      <c r="F49" s="91">
        <v>246.43000000000004</v>
      </c>
      <c r="G49" s="91">
        <f t="shared" si="4"/>
        <v>246.43000000000004</v>
      </c>
      <c r="I49" s="16"/>
      <c r="J49" s="6" t="s">
        <v>11</v>
      </c>
      <c r="K49" s="15"/>
      <c r="L49" s="15"/>
      <c r="M49" s="15"/>
      <c r="N49" s="15"/>
      <c r="O49" s="7">
        <f t="shared" si="5"/>
        <v>0</v>
      </c>
    </row>
    <row r="50" spans="1:15" ht="25" x14ac:dyDescent="0.35">
      <c r="A50" s="71">
        <f>'Presupuesto Total'!D33</f>
        <v>1</v>
      </c>
      <c r="B50" s="72" t="s">
        <v>11</v>
      </c>
      <c r="C50" s="73" t="s">
        <v>185</v>
      </c>
      <c r="D50" s="72" t="s">
        <v>162</v>
      </c>
      <c r="E50" s="73" t="str">
        <f>IF(C50&lt;&gt;"",VLOOKUP(C50,Preciario!$A$2:$D$66,3,FALSE),"")</f>
        <v>Partida ayudas auxiliares en equipamiento y mano de obra en albañilería</v>
      </c>
      <c r="F50" s="91">
        <v>246.43000000000004</v>
      </c>
      <c r="G50" s="91">
        <f t="shared" si="4"/>
        <v>246.43000000000004</v>
      </c>
      <c r="I50" s="16"/>
      <c r="J50" s="6" t="s">
        <v>11</v>
      </c>
      <c r="K50" s="15"/>
      <c r="L50" s="15"/>
      <c r="M50" s="15"/>
      <c r="N50" s="15"/>
      <c r="O50" s="7">
        <f t="shared" si="5"/>
        <v>0</v>
      </c>
    </row>
    <row r="51" spans="1:15" x14ac:dyDescent="0.35">
      <c r="A51" s="8"/>
      <c r="B51" s="8"/>
      <c r="C51" s="9"/>
      <c r="D51" s="9"/>
      <c r="E51" s="9"/>
      <c r="F51" s="19" t="s">
        <v>4</v>
      </c>
      <c r="G51" s="20">
        <f>SUM(G38:G50)</f>
        <v>5296.4600000000009</v>
      </c>
      <c r="I51" s="8"/>
      <c r="J51" s="8"/>
      <c r="K51" s="9"/>
      <c r="L51" s="9"/>
      <c r="M51" s="9"/>
      <c r="N51" s="19" t="s">
        <v>4</v>
      </c>
      <c r="O51" s="20">
        <f>SUM(O38:O50)</f>
        <v>0</v>
      </c>
    </row>
    <row r="52" spans="1:15" x14ac:dyDescent="0.35">
      <c r="A52" s="10"/>
      <c r="B52" s="10"/>
      <c r="C52" s="11"/>
      <c r="D52" s="11"/>
      <c r="E52" s="11"/>
      <c r="F52" s="11"/>
      <c r="G52" s="11"/>
      <c r="I52" s="10"/>
      <c r="J52" s="10"/>
      <c r="K52" s="11"/>
      <c r="L52" s="11"/>
      <c r="M52" s="11"/>
      <c r="N52" s="11"/>
      <c r="O52" s="11"/>
    </row>
    <row r="53" spans="1:15" ht="14.4" customHeight="1" x14ac:dyDescent="0.35">
      <c r="A53" s="198" t="s">
        <v>110</v>
      </c>
      <c r="B53" s="199"/>
      <c r="C53" s="200"/>
      <c r="D53" s="4"/>
      <c r="E53" s="4"/>
      <c r="F53" s="4"/>
      <c r="G53" s="5"/>
      <c r="I53" s="198" t="s">
        <v>110</v>
      </c>
      <c r="J53" s="199"/>
      <c r="K53" s="200"/>
      <c r="L53" s="87"/>
      <c r="M53" s="87"/>
      <c r="N53" s="4"/>
      <c r="O53" s="4"/>
    </row>
    <row r="54" spans="1:15" x14ac:dyDescent="0.35">
      <c r="A54" s="197" t="s">
        <v>0</v>
      </c>
      <c r="B54" s="197"/>
      <c r="C54" s="12" t="s">
        <v>13</v>
      </c>
      <c r="D54" s="12" t="s">
        <v>14</v>
      </c>
      <c r="E54" s="12" t="s">
        <v>256</v>
      </c>
      <c r="F54" s="12" t="s">
        <v>2</v>
      </c>
      <c r="G54" s="13" t="s">
        <v>7</v>
      </c>
      <c r="I54" s="197" t="s">
        <v>0</v>
      </c>
      <c r="J54" s="197"/>
      <c r="K54" s="12" t="s">
        <v>13</v>
      </c>
      <c r="L54" s="12" t="s">
        <v>14</v>
      </c>
      <c r="M54" s="12" t="s">
        <v>256</v>
      </c>
      <c r="N54" s="12" t="s">
        <v>2</v>
      </c>
      <c r="O54" s="13" t="s">
        <v>7</v>
      </c>
    </row>
    <row r="55" spans="1:15" ht="125" x14ac:dyDescent="0.35">
      <c r="A55" s="71">
        <v>2</v>
      </c>
      <c r="B55" s="72" t="s">
        <v>3</v>
      </c>
      <c r="C55" s="73" t="s">
        <v>72</v>
      </c>
      <c r="D55" s="72" t="str">
        <f>IF(C55&lt;&gt;"",VLOOKUP(C55,Preciario!$A$2:$D$66,2,FALSE),"")</f>
        <v>P3265LVE</v>
      </c>
      <c r="E55" s="73" t="str">
        <f>IF(C55&lt;&gt;"",VLOOKUP(C55,Preciario!$A$2:$D$66,3,FALSE),"")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55" s="24">
        <f>IF(C55&lt;&gt;"",VLOOKUP(C55,Preciario!$A$2:$D$66,4,FALSE),"")</f>
        <v>749</v>
      </c>
      <c r="G55" s="24">
        <f t="shared" ref="G55:G64" si="7">A55*F55</f>
        <v>1498</v>
      </c>
      <c r="I55" s="16"/>
      <c r="J55" s="6" t="s">
        <v>3</v>
      </c>
      <c r="K55" s="15"/>
      <c r="L55" s="15"/>
      <c r="M55" s="15"/>
      <c r="N55" s="15"/>
      <c r="O55" s="7">
        <f t="shared" ref="O55:O64" si="8">+N55*I55</f>
        <v>0</v>
      </c>
    </row>
    <row r="56" spans="1:15" ht="62.5" x14ac:dyDescent="0.35">
      <c r="A56" s="71">
        <v>2</v>
      </c>
      <c r="B56" s="72" t="s">
        <v>3</v>
      </c>
      <c r="C56" s="73" t="s">
        <v>266</v>
      </c>
      <c r="D56" s="72" t="str">
        <f>IF(C56&lt;&gt;"",VLOOKUP(C56,Preciario!$A$2:$D$66,2,FALSE),"")</f>
        <v>T91B47</v>
      </c>
      <c r="E56" s="73" t="str">
        <f>IF(C56&lt;&gt;"",VLOOKUP(C56,Preciario!$A$2:$D$66,3,FALSE),"")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56" s="24">
        <f>IF(C56&lt;&gt;"",VLOOKUP(C56,Preciario!$A$2:$D$66,4,FALSE),"")</f>
        <v>89</v>
      </c>
      <c r="G56" s="24">
        <f t="shared" si="7"/>
        <v>178</v>
      </c>
      <c r="I56" s="16"/>
      <c r="J56" s="6" t="s">
        <v>3</v>
      </c>
      <c r="K56" s="15"/>
      <c r="L56" s="15"/>
      <c r="M56" s="15"/>
      <c r="N56" s="15"/>
      <c r="O56" s="7">
        <f t="shared" ref="O56" si="9">+N56*I56</f>
        <v>0</v>
      </c>
    </row>
    <row r="57" spans="1:15" x14ac:dyDescent="0.35">
      <c r="A57" s="71">
        <v>2</v>
      </c>
      <c r="B57" s="72" t="s">
        <v>3</v>
      </c>
      <c r="C57" s="73" t="s">
        <v>31</v>
      </c>
      <c r="D57" s="72" t="str">
        <f>IF(C57&lt;&gt;"",VLOOKUP(C57,Preciario!$A$2:$D$66,2,FALSE),"")</f>
        <v>LIC_CAM</v>
      </c>
      <c r="E57" s="73" t="str">
        <f>IF(C57&lt;&gt;"",VLOOKUP(C57,Preciario!$A$2:$D$66,3,FALSE),"")</f>
        <v xml:space="preserve">Licenciamiento de cámara en servidor </v>
      </c>
      <c r="F57" s="24">
        <f>IF(C57&lt;&gt;"",VLOOKUP(C57,Preciario!$A$2:$D$66,4,FALSE),"")</f>
        <v>159.05000000000001</v>
      </c>
      <c r="G57" s="24">
        <f t="shared" si="7"/>
        <v>318.10000000000002</v>
      </c>
      <c r="I57" s="16"/>
      <c r="J57" s="6" t="s">
        <v>3</v>
      </c>
      <c r="K57" s="15"/>
      <c r="L57" s="15"/>
      <c r="M57" s="15"/>
      <c r="N57" s="15"/>
      <c r="O57" s="7">
        <f t="shared" si="8"/>
        <v>0</v>
      </c>
    </row>
    <row r="58" spans="1:15" ht="87.5" x14ac:dyDescent="0.35">
      <c r="A58" s="71">
        <v>2</v>
      </c>
      <c r="B58" s="72" t="s">
        <v>3</v>
      </c>
      <c r="C58" s="73" t="s">
        <v>190</v>
      </c>
      <c r="D58" s="72" t="str">
        <f>IF(C58&lt;&gt;"",VLOOKUP(C58,Preciario!$A$2:$D$66,2,FALSE),"")</f>
        <v>DE.3001</v>
      </c>
      <c r="E58" s="73" t="str">
        <f>IF(C58&lt;&gt;"",VLOOKUP(C58,Preciario!$A$2:$D$66,3,FALSE),"")</f>
        <v xml:space="preserve">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 Incluida instalación y configuración. </v>
      </c>
      <c r="F58" s="24">
        <f>IF(C58&lt;&gt;"",VLOOKUP(C58,Preciario!$A$2:$D$66,4,FALSE),"")</f>
        <v>392</v>
      </c>
      <c r="G58" s="24">
        <f t="shared" si="7"/>
        <v>784</v>
      </c>
      <c r="I58" s="16"/>
      <c r="J58" s="6" t="s">
        <v>3</v>
      </c>
      <c r="K58" s="15"/>
      <c r="L58" s="15"/>
      <c r="M58" s="15"/>
      <c r="N58" s="15"/>
      <c r="O58" s="7">
        <f t="shared" si="8"/>
        <v>0</v>
      </c>
    </row>
    <row r="59" spans="1:15" ht="50" x14ac:dyDescent="0.35">
      <c r="A59" s="71">
        <v>2</v>
      </c>
      <c r="B59" s="72" t="s">
        <v>3</v>
      </c>
      <c r="C59" s="73" t="s">
        <v>189</v>
      </c>
      <c r="D59" s="72" t="str">
        <f>IF(C59&lt;&gt;"",VLOOKUP(C59,Preciario!$A$2:$D$66,2,FALSE),"")</f>
        <v>ACAP PER_DEF</v>
      </c>
      <c r="E59" s="73" t="str">
        <f>IF(C59&lt;&gt;"",VLOOKUP(C59,Preciario!$A$2:$D$66,3,FALSE),"")</f>
        <v xml:space="preserve">Licencia de unidad única para AXIS Perimeter Defender, una aplicación de análisis de video escalable y flexible para vigilancia y protección perimetral. Incluida instalación y configuración. </v>
      </c>
      <c r="F59" s="24">
        <f>IF(C59&lt;&gt;"",VLOOKUP(C59,Preciario!$A$2:$D$66,4,FALSE),"")</f>
        <v>299</v>
      </c>
      <c r="G59" s="24">
        <f t="shared" si="7"/>
        <v>598</v>
      </c>
      <c r="I59" s="16"/>
      <c r="J59" s="6" t="s">
        <v>3</v>
      </c>
      <c r="K59" s="15"/>
      <c r="L59" s="15"/>
      <c r="M59" s="15"/>
      <c r="N59" s="15"/>
      <c r="O59" s="7">
        <f t="shared" si="8"/>
        <v>0</v>
      </c>
    </row>
    <row r="60" spans="1:15" x14ac:dyDescent="0.35">
      <c r="A60" s="71">
        <v>1</v>
      </c>
      <c r="B60" s="72" t="s">
        <v>3</v>
      </c>
      <c r="C60" s="73" t="s">
        <v>43</v>
      </c>
      <c r="D60" s="72" t="str">
        <f>IF(C60&lt;&gt;"",VLOOKUP(C60,Preciario!$A$2:$D$66,2,FALSE),"")</f>
        <v>CAJA_15X15</v>
      </c>
      <c r="E60" s="73" t="str">
        <f>IF(C60&lt;&gt;"",VLOOKUP(C60,Preciario!$A$2:$D$66,3,FALSE),"")</f>
        <v>Caja metálica 150x150mm</v>
      </c>
      <c r="F60" s="24">
        <f>IF(C60&lt;&gt;"",VLOOKUP(C60,Preciario!$A$2:$D$66,4,FALSE),"")</f>
        <v>45</v>
      </c>
      <c r="G60" s="24">
        <f t="shared" si="7"/>
        <v>45</v>
      </c>
      <c r="I60" s="16"/>
      <c r="J60" s="6" t="s">
        <v>3</v>
      </c>
      <c r="K60" s="15"/>
      <c r="L60" s="15"/>
      <c r="M60" s="15"/>
      <c r="N60" s="15"/>
      <c r="O60" s="7">
        <f t="shared" si="8"/>
        <v>0</v>
      </c>
    </row>
    <row r="61" spans="1:15" ht="25" x14ac:dyDescent="0.35">
      <c r="A61" s="71">
        <v>50</v>
      </c>
      <c r="B61" s="72" t="s">
        <v>10</v>
      </c>
      <c r="C61" s="73" t="s">
        <v>274</v>
      </c>
      <c r="D61" s="72" t="str">
        <f>IF(C61&lt;&gt;"",VLOOKUP(C61,Preciario!$A$2:$D$66,2,FALSE),"")</f>
        <v>TUBAC20</v>
      </c>
      <c r="E61" s="73" t="str">
        <f>IF(C61&lt;&gt;"",VLOOKUP(C61,Preciario!$A$2:$D$66,3,FALSE),"")</f>
        <v>Suministro e instalación Tubo acero M20, p.p mano de obra y accesorios</v>
      </c>
      <c r="F61" s="24">
        <f>IF(C61&lt;&gt;"",VLOOKUP(C61,Preciario!$A$2:$D$66,4,FALSE),"")</f>
        <v>15.37</v>
      </c>
      <c r="G61" s="24">
        <f t="shared" si="7"/>
        <v>768.5</v>
      </c>
      <c r="I61" s="16"/>
      <c r="J61" s="6" t="s">
        <v>10</v>
      </c>
      <c r="K61" s="15"/>
      <c r="L61" s="15"/>
      <c r="M61" s="15"/>
      <c r="N61" s="15"/>
      <c r="O61" s="7">
        <f t="shared" si="8"/>
        <v>0</v>
      </c>
    </row>
    <row r="62" spans="1:15" ht="62.5" x14ac:dyDescent="0.35">
      <c r="A62" s="71">
        <v>150</v>
      </c>
      <c r="B62" s="72" t="s">
        <v>10</v>
      </c>
      <c r="C62" s="73" t="s">
        <v>277</v>
      </c>
      <c r="D62" s="72" t="str">
        <f>IF(C62&lt;&gt;"",VLOOKUP(C62,Preciario!$A$2:$D$66,2,FALSE),"")</f>
        <v>FTP_CAT6A/CAT7</v>
      </c>
      <c r="E62" s="73" t="str">
        <f>IF(C62&lt;&gt;"",VLOOKUP(C62,Preciario!$A$2:$D$66,3,FALSE),"")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62" s="24">
        <f>IF(C62&lt;&gt;"",VLOOKUP(C62,Preciario!$A$2:$D$66,4,FALSE),"")</f>
        <v>4.8</v>
      </c>
      <c r="G62" s="24">
        <f t="shared" si="7"/>
        <v>720</v>
      </c>
      <c r="I62" s="16"/>
      <c r="J62" s="6" t="s">
        <v>10</v>
      </c>
      <c r="K62" s="15"/>
      <c r="L62" s="15"/>
      <c r="M62" s="15"/>
      <c r="N62" s="15"/>
      <c r="O62" s="7">
        <f t="shared" si="8"/>
        <v>0</v>
      </c>
    </row>
    <row r="63" spans="1:15" ht="25" x14ac:dyDescent="0.35">
      <c r="A63" s="71">
        <f>'Presupuesto Total'!D32</f>
        <v>1</v>
      </c>
      <c r="B63" s="72" t="s">
        <v>11</v>
      </c>
      <c r="C63" s="73" t="s">
        <v>163</v>
      </c>
      <c r="D63" s="72" t="s">
        <v>164</v>
      </c>
      <c r="E63" s="73" t="str">
        <f>IF(C63&lt;&gt;"",VLOOKUP(C63,Preciario!$A$2:$D$66,3,FALSE),"")</f>
        <v>Partida ayudas auxiliares en equipamiento y mano de obra en sistemas de energía</v>
      </c>
      <c r="F63" s="91">
        <v>245.48000000000002</v>
      </c>
      <c r="G63" s="24">
        <f t="shared" si="7"/>
        <v>245.48000000000002</v>
      </c>
      <c r="I63" s="16"/>
      <c r="J63" s="6" t="s">
        <v>11</v>
      </c>
      <c r="K63" s="15"/>
      <c r="L63" s="15"/>
      <c r="M63" s="15"/>
      <c r="N63" s="15"/>
      <c r="O63" s="7">
        <f t="shared" si="8"/>
        <v>0</v>
      </c>
    </row>
    <row r="64" spans="1:15" ht="25" x14ac:dyDescent="0.35">
      <c r="A64" s="71">
        <f>'Presupuesto Total'!D33</f>
        <v>1</v>
      </c>
      <c r="B64" s="72" t="s">
        <v>11</v>
      </c>
      <c r="C64" s="73" t="s">
        <v>185</v>
      </c>
      <c r="D64" s="72" t="s">
        <v>162</v>
      </c>
      <c r="E64" s="73" t="str">
        <f>IF(C64&lt;&gt;"",VLOOKUP(C64,Preciario!$A$2:$D$66,3,FALSE),"")</f>
        <v>Partida ayudas auxiliares en equipamiento y mano de obra en albañilería</v>
      </c>
      <c r="F64" s="91">
        <v>245.48000000000002</v>
      </c>
      <c r="G64" s="24">
        <f t="shared" si="7"/>
        <v>245.48000000000002</v>
      </c>
      <c r="I64" s="16"/>
      <c r="J64" s="6" t="s">
        <v>11</v>
      </c>
      <c r="K64" s="15"/>
      <c r="L64" s="15"/>
      <c r="M64" s="15"/>
      <c r="N64" s="15"/>
      <c r="O64" s="7">
        <f t="shared" si="8"/>
        <v>0</v>
      </c>
    </row>
    <row r="65" spans="1:15" x14ac:dyDescent="0.35">
      <c r="A65" s="8"/>
      <c r="B65" s="8"/>
      <c r="C65" s="9"/>
      <c r="D65" s="9"/>
      <c r="E65" s="9"/>
      <c r="F65" s="19" t="s">
        <v>4</v>
      </c>
      <c r="G65" s="20">
        <f>SUM(G55:G64)</f>
        <v>5400.5599999999995</v>
      </c>
      <c r="I65" s="8"/>
      <c r="J65" s="8"/>
      <c r="K65" s="9"/>
      <c r="L65" s="9"/>
      <c r="M65" s="9"/>
      <c r="N65" s="19" t="s">
        <v>4</v>
      </c>
      <c r="O65" s="20">
        <f>SUM(O55:O64)</f>
        <v>0</v>
      </c>
    </row>
    <row r="66" spans="1:15" x14ac:dyDescent="0.35">
      <c r="A66" s="10"/>
      <c r="B66" s="10"/>
      <c r="C66" s="11"/>
      <c r="D66" s="11"/>
      <c r="E66" s="11"/>
      <c r="F66" s="11"/>
      <c r="G66" s="11"/>
      <c r="I66" s="10"/>
      <c r="J66" s="10"/>
      <c r="K66" s="11"/>
      <c r="L66" s="11"/>
      <c r="M66" s="11"/>
      <c r="N66" s="11"/>
      <c r="O66" s="11"/>
    </row>
    <row r="67" spans="1:15" ht="14.4" customHeight="1" x14ac:dyDescent="0.35">
      <c r="A67" s="198" t="s">
        <v>194</v>
      </c>
      <c r="B67" s="199"/>
      <c r="C67" s="200"/>
      <c r="D67" s="4"/>
      <c r="E67" s="4"/>
      <c r="F67" s="4"/>
      <c r="G67" s="5"/>
      <c r="I67" s="198" t="s">
        <v>194</v>
      </c>
      <c r="J67" s="199"/>
      <c r="K67" s="200"/>
      <c r="L67" s="87"/>
      <c r="M67" s="87"/>
      <c r="N67" s="4"/>
      <c r="O67" s="4"/>
    </row>
    <row r="68" spans="1:15" x14ac:dyDescent="0.35">
      <c r="A68" s="197" t="s">
        <v>0</v>
      </c>
      <c r="B68" s="197"/>
      <c r="C68" s="12" t="s">
        <v>13</v>
      </c>
      <c r="D68" s="12" t="s">
        <v>14</v>
      </c>
      <c r="E68" s="12" t="s">
        <v>256</v>
      </c>
      <c r="F68" s="12" t="s">
        <v>2</v>
      </c>
      <c r="G68" s="13" t="s">
        <v>7</v>
      </c>
      <c r="I68" s="197" t="s">
        <v>0</v>
      </c>
      <c r="J68" s="197"/>
      <c r="K68" s="12" t="s">
        <v>13</v>
      </c>
      <c r="L68" s="12" t="s">
        <v>14</v>
      </c>
      <c r="M68" s="12" t="s">
        <v>256</v>
      </c>
      <c r="N68" s="12" t="s">
        <v>2</v>
      </c>
      <c r="O68" s="13" t="s">
        <v>7</v>
      </c>
    </row>
    <row r="69" spans="1:15" ht="15" customHeight="1" x14ac:dyDescent="0.35">
      <c r="A69" s="71">
        <v>4</v>
      </c>
      <c r="B69" s="72" t="s">
        <v>3</v>
      </c>
      <c r="C69" s="73" t="s">
        <v>212</v>
      </c>
      <c r="D69" s="72" t="str">
        <f>IF(C69&lt;&gt;"",VLOOKUP(C69,Preciario!$A$2:$D$66,2,FALSE),"")</f>
        <v>HDD10TB</v>
      </c>
      <c r="E69" s="73" t="str">
        <f>IF(C69&lt;&gt;"",VLOOKUP(C69,Preciario!$A$2:$D$66,3,FALSE),"")</f>
        <v>Disco duro SERVIDOR 10TB</v>
      </c>
      <c r="F69" s="24">
        <f>IF(C69&lt;&gt;"",VLOOKUP(C69,Preciario!$A$2:$D$66,4,FALSE),"")</f>
        <v>514.30000000000007</v>
      </c>
      <c r="G69" s="24">
        <f>A69*F69</f>
        <v>2057.2000000000003</v>
      </c>
      <c r="I69" s="16"/>
      <c r="J69" s="6" t="s">
        <v>3</v>
      </c>
      <c r="K69" s="15"/>
      <c r="L69" s="15"/>
      <c r="M69" s="15"/>
      <c r="N69" s="15"/>
      <c r="O69" s="7">
        <f t="shared" ref="O69:O71" si="10">+N69*I69</f>
        <v>0</v>
      </c>
    </row>
    <row r="70" spans="1:15" x14ac:dyDescent="0.35">
      <c r="A70" s="71">
        <v>1</v>
      </c>
      <c r="B70" s="72" t="s">
        <v>3</v>
      </c>
      <c r="C70" s="73" t="s">
        <v>224</v>
      </c>
      <c r="D70" s="72" t="str">
        <f>IF(C70&lt;&gt;"",VLOOKUP(C70,Preciario!$A$2:$D$66,2,FALSE),"")</f>
        <v>RAM8GB</v>
      </c>
      <c r="E70" s="73" t="str">
        <f>IF(C70&lt;&gt;"",VLOOKUP(C70,Preciario!$A$2:$D$66,3,FALSE),"")</f>
        <v>Memoría RAM 8GB</v>
      </c>
      <c r="F70" s="24">
        <f>IF(C70&lt;&gt;"",VLOOKUP(C70,Preciario!$A$2:$D$66,4,FALSE),"")</f>
        <v>51.800000000000004</v>
      </c>
      <c r="G70" s="24">
        <f>A70*F70</f>
        <v>51.800000000000004</v>
      </c>
      <c r="I70" s="16"/>
      <c r="J70" s="6" t="s">
        <v>3</v>
      </c>
      <c r="K70" s="15"/>
      <c r="L70" s="15"/>
      <c r="M70" s="15"/>
      <c r="N70" s="15"/>
      <c r="O70" s="7">
        <f t="shared" si="10"/>
        <v>0</v>
      </c>
    </row>
    <row r="71" spans="1:15" ht="15" customHeight="1" x14ac:dyDescent="0.35">
      <c r="A71" s="71">
        <v>1</v>
      </c>
      <c r="B71" s="72" t="s">
        <v>11</v>
      </c>
      <c r="C71" s="73" t="s">
        <v>207</v>
      </c>
      <c r="D71" s="72" t="s">
        <v>208</v>
      </c>
      <c r="E71" s="73" t="s">
        <v>207</v>
      </c>
      <c r="F71" s="24">
        <v>159.5625</v>
      </c>
      <c r="G71" s="24">
        <f>A71*F71</f>
        <v>159.5625</v>
      </c>
      <c r="I71" s="16"/>
      <c r="J71" s="6" t="s">
        <v>11</v>
      </c>
      <c r="K71" s="15"/>
      <c r="L71" s="15"/>
      <c r="M71" s="15"/>
      <c r="N71" s="15"/>
      <c r="O71" s="7">
        <f t="shared" si="10"/>
        <v>0</v>
      </c>
    </row>
    <row r="72" spans="1:15" x14ac:dyDescent="0.35">
      <c r="A72" s="8"/>
      <c r="B72" s="8"/>
      <c r="C72" s="9"/>
      <c r="D72" s="9"/>
      <c r="E72" s="9"/>
      <c r="F72" s="19" t="s">
        <v>4</v>
      </c>
      <c r="G72" s="20">
        <f>SUM(G69:G71)</f>
        <v>2268.5625000000005</v>
      </c>
      <c r="I72" s="8"/>
      <c r="J72" s="8"/>
      <c r="K72" s="9"/>
      <c r="L72" s="9"/>
      <c r="M72" s="9"/>
      <c r="N72" s="19" t="s">
        <v>4</v>
      </c>
      <c r="O72" s="20">
        <f>SUM(O69:O71)</f>
        <v>0</v>
      </c>
    </row>
    <row r="73" spans="1:15" x14ac:dyDescent="0.35">
      <c r="A73" s="10"/>
      <c r="B73" s="10"/>
      <c r="C73" s="11"/>
      <c r="D73" s="11"/>
      <c r="E73" s="11"/>
      <c r="F73" s="11"/>
      <c r="G73" s="11"/>
      <c r="I73" s="10"/>
      <c r="J73" s="10"/>
      <c r="K73" s="11"/>
      <c r="L73" s="11"/>
      <c r="M73" s="11"/>
      <c r="N73" s="11"/>
      <c r="O73" s="11"/>
    </row>
    <row r="74" spans="1:15" ht="27" customHeight="1" x14ac:dyDescent="0.35">
      <c r="A74" s="194" t="s">
        <v>111</v>
      </c>
      <c r="B74" s="195"/>
      <c r="C74" s="195"/>
      <c r="D74" s="195"/>
      <c r="E74" s="195"/>
      <c r="F74" s="196"/>
      <c r="G74" s="22">
        <f>G34+G51+G65+G72</f>
        <v>22629.712736111112</v>
      </c>
      <c r="I74" s="194" t="s">
        <v>111</v>
      </c>
      <c r="J74" s="195"/>
      <c r="K74" s="195"/>
      <c r="L74" s="195"/>
      <c r="M74" s="195"/>
      <c r="N74" s="196"/>
      <c r="O74" s="25">
        <f>O34+O51+O65+O72</f>
        <v>0</v>
      </c>
    </row>
  </sheetData>
  <sheetProtection algorithmName="SHA-512" hashValue="O23KW4bZVwk/+N24Gecpf2PWREjAwbdLWMLMcvnrPdODu1S7WlCyby8xD2AsRk/uNlPsgktTepn+5h7zFln3Yw==" saltValue="Pl+tAa4dmpS0CyAaAcyZSA==" spinCount="100000" sheet="1" selectLockedCells="1"/>
  <mergeCells count="22">
    <mergeCell ref="D3:K6"/>
    <mergeCell ref="A9:O9"/>
    <mergeCell ref="C11:D11"/>
    <mergeCell ref="K11:L11"/>
    <mergeCell ref="A20:C20"/>
    <mergeCell ref="I20:K20"/>
    <mergeCell ref="A21:B21"/>
    <mergeCell ref="I21:J21"/>
    <mergeCell ref="A36:C36"/>
    <mergeCell ref="I36:K36"/>
    <mergeCell ref="A37:B37"/>
    <mergeCell ref="I37:J37"/>
    <mergeCell ref="A74:F74"/>
    <mergeCell ref="I74:N74"/>
    <mergeCell ref="A53:C53"/>
    <mergeCell ref="I53:K53"/>
    <mergeCell ref="A54:B54"/>
    <mergeCell ref="I54:J54"/>
    <mergeCell ref="A67:C67"/>
    <mergeCell ref="I67:K67"/>
    <mergeCell ref="A68:B68"/>
    <mergeCell ref="I68:J68"/>
  </mergeCells>
  <dataValidations count="3">
    <dataValidation type="decimal" allowBlank="1" showErrorMessage="1" error="Introducir Precio Unitario" sqref="N53 N51 N67 N65 N34:N36 N72" xr:uid="{9B7D32C4-9AAC-47C6-88F1-CA33CBBA19AC}">
      <formula1>1</formula1>
      <formula2>100000</formula2>
    </dataValidation>
    <dataValidation type="decimal" allowBlank="1" showInputMessage="1" showErrorMessage="1" error="Introducir Precio Unitario" sqref="F68 N21 N37 N54 F21 F37 F54 N68" xr:uid="{81BD5D7E-67D7-4036-8A73-1D769F806A84}">
      <formula1>1</formula1>
      <formula2>100000</formula2>
    </dataValidation>
    <dataValidation type="whole" allowBlank="1" showInputMessage="1" showErrorMessage="1" error="Introducir Unidades" sqref="A68 I37 A21 A37 A54 I51 I65 I34:I35 I21 I54 I68 I72" xr:uid="{3D7B1E35-DBDB-448F-9113-2C772C56931A}">
      <formula1>1</formula1>
      <formula2>1000</formula2>
    </dataValidation>
  </dataValidations>
  <hyperlinks>
    <hyperlink ref="H11" location="'Presupuesto Total'!A1" display="ÍNDICE" xr:uid="{16C510A4-F816-4344-90E5-507D681F8E64}"/>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2864-6996-43A7-BA24-1EDCF2180DA9}">
  <dimension ref="A3:U48"/>
  <sheetViews>
    <sheetView showGridLines="0" topLeftCell="A36" zoomScale="70" zoomScaleNormal="70" workbookViewId="0">
      <selection activeCell="K43" activeCellId="3" sqref="I20:I38 K20:N38 I43:I45 K43:N45"/>
    </sheetView>
  </sheetViews>
  <sheetFormatPr baseColWidth="10" defaultColWidth="11.54296875" defaultRowHeight="14.5" x14ac:dyDescent="0.35"/>
  <cols>
    <col min="1" max="1" width="8.08984375" style="1" bestFit="1" customWidth="1"/>
    <col min="2" max="2" width="3" style="1" bestFit="1" customWidth="1"/>
    <col min="3" max="3" width="49.54296875" style="1" customWidth="1"/>
    <col min="4" max="4" width="18.90625" style="1" customWidth="1"/>
    <col min="5" max="5" width="51.08984375" style="1" customWidth="1"/>
    <col min="6" max="6" width="13.54296875" style="1" bestFit="1" customWidth="1"/>
    <col min="7" max="7" width="14.90625" style="1" bestFit="1" customWidth="1"/>
    <col min="8" max="9" width="11.54296875" style="1"/>
    <col min="10" max="10" width="3" style="1" bestFit="1" customWidth="1"/>
    <col min="11" max="11" width="48.90625" style="1" bestFit="1" customWidth="1"/>
    <col min="12" max="12" width="19.453125" style="1" bestFit="1" customWidth="1"/>
    <col min="13" max="13" width="22.453125" style="1" customWidth="1"/>
    <col min="14" max="14" width="16" style="1" bestFit="1" customWidth="1"/>
    <col min="15" max="15" width="14.453125" style="1" bestFit="1" customWidth="1"/>
    <col min="16" max="16384" width="11.54296875" style="1"/>
  </cols>
  <sheetData>
    <row r="3" spans="1:21" ht="14.4" customHeight="1" x14ac:dyDescent="0.35">
      <c r="D3" s="201" t="s">
        <v>115</v>
      </c>
      <c r="E3" s="202"/>
      <c r="F3" s="202"/>
      <c r="G3" s="202"/>
      <c r="H3" s="202"/>
      <c r="I3" s="202"/>
      <c r="J3" s="202"/>
      <c r="K3" s="202"/>
      <c r="N3" s="23"/>
    </row>
    <row r="4" spans="1:21" ht="14.4" customHeight="1" x14ac:dyDescent="0.35">
      <c r="D4" s="201"/>
      <c r="E4" s="202"/>
      <c r="F4" s="202"/>
      <c r="G4" s="202"/>
      <c r="H4" s="202"/>
      <c r="I4" s="202"/>
      <c r="J4" s="202"/>
      <c r="K4" s="202"/>
      <c r="N4" s="23"/>
    </row>
    <row r="5" spans="1:21" ht="14.4" customHeight="1" x14ac:dyDescent="0.35">
      <c r="D5" s="201"/>
      <c r="E5" s="202"/>
      <c r="F5" s="202"/>
      <c r="G5" s="202"/>
      <c r="H5" s="202"/>
      <c r="I5" s="202"/>
      <c r="J5" s="202"/>
      <c r="K5" s="202"/>
      <c r="N5" s="23"/>
    </row>
    <row r="6" spans="1:21" ht="14.4" customHeight="1" x14ac:dyDescent="0.35">
      <c r="D6" s="201"/>
      <c r="E6" s="202"/>
      <c r="F6" s="202"/>
      <c r="G6" s="202"/>
      <c r="H6" s="202"/>
      <c r="I6" s="202"/>
      <c r="J6" s="202"/>
      <c r="K6" s="202"/>
      <c r="N6" s="23"/>
    </row>
    <row r="7" spans="1:21" ht="14.4" customHeight="1" x14ac:dyDescent="0.35">
      <c r="N7" s="23"/>
    </row>
    <row r="8" spans="1:21" ht="14.4" customHeight="1" x14ac:dyDescent="0.35">
      <c r="N8" s="23"/>
    </row>
    <row r="9" spans="1:21" ht="17.5" x14ac:dyDescent="0.35">
      <c r="A9" s="203"/>
      <c r="B9" s="203"/>
      <c r="C9" s="203"/>
      <c r="D9" s="203"/>
      <c r="E9" s="203"/>
      <c r="F9" s="203"/>
      <c r="G9" s="203"/>
      <c r="H9" s="203"/>
      <c r="I9" s="203"/>
      <c r="J9" s="203"/>
      <c r="K9" s="203"/>
      <c r="L9" s="203"/>
      <c r="M9" s="203"/>
      <c r="N9" s="203"/>
      <c r="O9" s="203"/>
    </row>
    <row r="10" spans="1:21" ht="15" thickBot="1" x14ac:dyDescent="0.4">
      <c r="M10" s="82"/>
    </row>
    <row r="11" spans="1:21" customFormat="1" ht="23.15" customHeight="1" thickBot="1" x14ac:dyDescent="0.4">
      <c r="C11" s="204" t="s">
        <v>16</v>
      </c>
      <c r="D11" s="205"/>
      <c r="E11" s="81"/>
      <c r="H11" s="45" t="s">
        <v>154</v>
      </c>
      <c r="I11" s="1"/>
      <c r="J11" s="1"/>
      <c r="K11" s="204" t="s">
        <v>15</v>
      </c>
      <c r="L11" s="205"/>
      <c r="M11" s="81"/>
      <c r="N11" s="1"/>
      <c r="O11" s="1"/>
      <c r="Q11" s="1"/>
      <c r="R11" s="1"/>
      <c r="S11" s="1"/>
      <c r="T11" s="1"/>
      <c r="U11" s="1"/>
    </row>
    <row r="12" spans="1:21" customFormat="1" x14ac:dyDescent="0.35">
      <c r="C12" s="1"/>
      <c r="D12" s="1"/>
      <c r="E12" s="82"/>
      <c r="F12" s="1"/>
      <c r="G12" s="1"/>
      <c r="I12" s="1"/>
      <c r="J12" s="1"/>
      <c r="K12" s="1"/>
      <c r="L12" s="1"/>
      <c r="M12" s="82"/>
      <c r="N12" s="1"/>
      <c r="O12" s="1"/>
      <c r="Q12" s="1"/>
      <c r="R12" s="1"/>
      <c r="S12" s="1"/>
      <c r="T12" s="1"/>
      <c r="U12" s="1"/>
    </row>
    <row r="13" spans="1:21" customFormat="1" ht="26" x14ac:dyDescent="0.35">
      <c r="C13" s="14" t="s">
        <v>116</v>
      </c>
      <c r="D13" s="14" t="s">
        <v>7</v>
      </c>
      <c r="E13" s="83"/>
      <c r="F13" s="1"/>
      <c r="G13" s="1"/>
      <c r="I13" s="1"/>
      <c r="J13" s="1"/>
      <c r="K13" s="14" t="s">
        <v>116</v>
      </c>
      <c r="L13" s="14" t="s">
        <v>17</v>
      </c>
      <c r="M13" s="83"/>
      <c r="N13" s="1"/>
      <c r="O13" s="1"/>
      <c r="Q13" s="1"/>
      <c r="R13" s="1"/>
      <c r="S13" s="1"/>
      <c r="T13" s="1"/>
      <c r="U13" s="1"/>
    </row>
    <row r="14" spans="1:21" customFormat="1" x14ac:dyDescent="0.35">
      <c r="C14" s="17" t="str">
        <f>A18</f>
        <v>1.- PERÍMETRO</v>
      </c>
      <c r="D14" s="3">
        <f>G39</f>
        <v>99077.006180555574</v>
      </c>
      <c r="E14" s="62"/>
      <c r="F14" s="1"/>
      <c r="G14" s="1"/>
      <c r="I14" s="1"/>
      <c r="J14" s="1"/>
      <c r="K14" s="17" t="str">
        <f>I18</f>
        <v>3.- PERÍMETRO</v>
      </c>
      <c r="L14" s="3">
        <f>O39</f>
        <v>0</v>
      </c>
      <c r="M14" s="89"/>
      <c r="N14" s="1"/>
      <c r="O14" s="1"/>
      <c r="Q14" s="1"/>
      <c r="R14" s="1"/>
      <c r="S14" s="1"/>
      <c r="T14" s="1"/>
      <c r="U14" s="1"/>
    </row>
    <row r="15" spans="1:21" customFormat="1" x14ac:dyDescent="0.35">
      <c r="C15" s="17" t="str">
        <f>A41</f>
        <v>2.- ACTUALIZACIÓN GRABADOR</v>
      </c>
      <c r="D15" s="3">
        <f>G46</f>
        <v>1239.9625000000001</v>
      </c>
      <c r="E15" s="62"/>
      <c r="F15" s="1"/>
      <c r="G15" s="1"/>
      <c r="I15" s="1"/>
      <c r="J15" s="1"/>
      <c r="K15" s="17" t="str">
        <f>I41</f>
        <v>2.- ACTUALIZACIÓN GRABADORES</v>
      </c>
      <c r="L15" s="3">
        <f>O46</f>
        <v>0</v>
      </c>
      <c r="M15" s="89"/>
      <c r="N15" s="1"/>
      <c r="O15" s="1"/>
      <c r="Q15" s="1"/>
      <c r="R15" s="1"/>
      <c r="S15" s="1"/>
      <c r="T15" s="1"/>
      <c r="U15" s="1"/>
    </row>
    <row r="16" spans="1:21" customFormat="1" ht="15.5" x14ac:dyDescent="0.35">
      <c r="C16" s="18" t="s">
        <v>8</v>
      </c>
      <c r="D16" s="21">
        <f>+SUM(D14:D15)</f>
        <v>100316.96868055557</v>
      </c>
      <c r="E16" s="63"/>
      <c r="F16" s="1"/>
      <c r="G16" s="1"/>
      <c r="I16" s="1"/>
      <c r="J16" s="1"/>
      <c r="K16" s="18" t="s">
        <v>8</v>
      </c>
      <c r="L16" s="21">
        <f>+SUM(L14:L15)</f>
        <v>0</v>
      </c>
      <c r="M16" s="90"/>
      <c r="N16" s="1"/>
      <c r="O16" s="1"/>
      <c r="Q16" s="1"/>
      <c r="R16" s="1"/>
      <c r="S16" s="1"/>
      <c r="T16" s="1"/>
      <c r="U16" s="1"/>
    </row>
    <row r="17" spans="1:15" x14ac:dyDescent="0.35">
      <c r="M17" s="82"/>
    </row>
    <row r="18" spans="1:15" x14ac:dyDescent="0.35">
      <c r="A18" s="198" t="s">
        <v>165</v>
      </c>
      <c r="B18" s="199"/>
      <c r="C18" s="200"/>
      <c r="D18" s="4"/>
      <c r="E18" s="4"/>
      <c r="F18" s="4"/>
      <c r="G18" s="5"/>
      <c r="I18" s="198" t="s">
        <v>103</v>
      </c>
      <c r="J18" s="199"/>
      <c r="K18" s="200"/>
      <c r="L18" s="87"/>
      <c r="M18" s="87"/>
      <c r="N18" s="4"/>
      <c r="O18" s="4"/>
    </row>
    <row r="19" spans="1:15" x14ac:dyDescent="0.35">
      <c r="A19" s="197" t="s">
        <v>0</v>
      </c>
      <c r="B19" s="197"/>
      <c r="C19" s="12" t="s">
        <v>13</v>
      </c>
      <c r="D19" s="12" t="s">
        <v>14</v>
      </c>
      <c r="E19" s="12" t="s">
        <v>256</v>
      </c>
      <c r="F19" s="12" t="s">
        <v>2</v>
      </c>
      <c r="G19" s="13" t="s">
        <v>7</v>
      </c>
      <c r="I19" s="197" t="s">
        <v>0</v>
      </c>
      <c r="J19" s="197"/>
      <c r="K19" s="12" t="s">
        <v>13</v>
      </c>
      <c r="L19" s="12" t="s">
        <v>14</v>
      </c>
      <c r="M19" s="12" t="s">
        <v>256</v>
      </c>
      <c r="N19" s="12" t="s">
        <v>2</v>
      </c>
      <c r="O19" s="13" t="s">
        <v>7</v>
      </c>
    </row>
    <row r="20" spans="1:15" ht="25" x14ac:dyDescent="0.35">
      <c r="A20" s="71">
        <v>11</v>
      </c>
      <c r="B20" s="72" t="s">
        <v>3</v>
      </c>
      <c r="C20" s="73" t="s">
        <v>29</v>
      </c>
      <c r="D20" s="72" t="str">
        <f>IF(C20&lt;&gt;"",VLOOKUP(C20,Preciario!$A$2:$D$66,2,FALSE),"")</f>
        <v>BACULO</v>
      </c>
      <c r="E20" s="73" t="str">
        <f>IF(C20&lt;&gt;"",VLOOKUP(C20,Preciario!$A$2:$D$66,3,FALSE),"")</f>
        <v xml:space="preserve">Báculo de 4 metros de altura para la colocación de una cámara de videovigilancia. Incluye el soporte de suelo. </v>
      </c>
      <c r="F20" s="24">
        <f>IF(C20&lt;&gt;"",VLOOKUP(C20,Preciario!$A$2:$D$66,4,FALSE),"")</f>
        <v>330</v>
      </c>
      <c r="G20" s="24">
        <f t="shared" ref="G20:G38" si="0">A20*F20</f>
        <v>3630</v>
      </c>
      <c r="I20" s="16"/>
      <c r="J20" s="6" t="s">
        <v>3</v>
      </c>
      <c r="K20" s="15"/>
      <c r="L20" s="15"/>
      <c r="M20" s="15"/>
      <c r="N20" s="15"/>
      <c r="O20" s="7">
        <f t="shared" ref="O20:O31" si="1">+N20*I20</f>
        <v>0</v>
      </c>
    </row>
    <row r="21" spans="1:15" ht="125" x14ac:dyDescent="0.35">
      <c r="A21" s="71">
        <v>18</v>
      </c>
      <c r="B21" s="72" t="s">
        <v>3</v>
      </c>
      <c r="C21" s="73" t="s">
        <v>72</v>
      </c>
      <c r="D21" s="72" t="str">
        <f>IF(C21&lt;&gt;"",VLOOKUP(C21,Preciario!$A$2:$D$66,2,FALSE),"")</f>
        <v>P3265LVE</v>
      </c>
      <c r="E21" s="73" t="str">
        <f>IF(C21&lt;&gt;"",VLOOKUP(C21,Preciario!$A$2:$D$66,3,FALSE),"")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21" s="24">
        <f>IF(C21&lt;&gt;"",VLOOKUP(C21,Preciario!$A$2:$D$66,4,FALSE),"")</f>
        <v>749</v>
      </c>
      <c r="G21" s="24">
        <f t="shared" si="0"/>
        <v>13482</v>
      </c>
      <c r="I21" s="16"/>
      <c r="J21" s="6" t="s">
        <v>3</v>
      </c>
      <c r="K21" s="15"/>
      <c r="L21" s="15"/>
      <c r="M21" s="15"/>
      <c r="N21" s="15"/>
      <c r="O21" s="7">
        <f t="shared" si="1"/>
        <v>0</v>
      </c>
    </row>
    <row r="22" spans="1:15" ht="50" x14ac:dyDescent="0.35">
      <c r="A22" s="71">
        <v>10</v>
      </c>
      <c r="B22" s="72" t="s">
        <v>3</v>
      </c>
      <c r="C22" s="73" t="s">
        <v>73</v>
      </c>
      <c r="D22" s="72" t="str">
        <f>IF(C22&lt;&gt;"",VLOOKUP(C22,Preciario!$A$2:$D$66,2,FALSE),"")</f>
        <v>Q1951-E</v>
      </c>
      <c r="E22" s="73" t="str">
        <f>IF(C22&lt;&gt;"",VLOOKUP(C22,Preciario!$A$2:$D$66,3,FALSE),"")</f>
        <v>Suministro y montaje de cámara IP térmica de alta sensibilidad para uso exterior con sensor de 384x288, la imagen puede ampliarse hasta 768x576, soporte y adaptador para montaje en báculo.</v>
      </c>
      <c r="F22" s="24">
        <f>IF(C22&lt;&gt;"",VLOOKUP(C22,Preciario!$A$2:$D$66,4,FALSE),"")</f>
        <v>2999</v>
      </c>
      <c r="G22" s="24">
        <f t="shared" si="0"/>
        <v>29990</v>
      </c>
      <c r="I22" s="16"/>
      <c r="J22" s="6" t="s">
        <v>3</v>
      </c>
      <c r="K22" s="15"/>
      <c r="L22" s="15"/>
      <c r="M22" s="15"/>
      <c r="N22" s="15"/>
      <c r="O22" s="7">
        <f t="shared" si="1"/>
        <v>0</v>
      </c>
    </row>
    <row r="23" spans="1:15" ht="62.5" x14ac:dyDescent="0.35">
      <c r="A23" s="71">
        <v>28</v>
      </c>
      <c r="B23" s="72" t="s">
        <v>3</v>
      </c>
      <c r="C23" s="73" t="s">
        <v>266</v>
      </c>
      <c r="D23" s="72" t="str">
        <f>IF(C23&lt;&gt;"",VLOOKUP(C23,Preciario!$A$2:$D$66,2,FALSE),"")</f>
        <v>T91B47</v>
      </c>
      <c r="E23" s="73" t="str">
        <f>IF(C23&lt;&gt;"",VLOOKUP(C23,Preciario!$A$2:$D$66,3,FALSE),"")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23" s="24">
        <f>IF(C23&lt;&gt;"",VLOOKUP(C23,Preciario!$A$2:$D$66,4,FALSE),"")</f>
        <v>89</v>
      </c>
      <c r="G23" s="24">
        <f t="shared" si="0"/>
        <v>2492</v>
      </c>
      <c r="I23" s="16"/>
      <c r="J23" s="6" t="s">
        <v>3</v>
      </c>
      <c r="K23" s="15"/>
      <c r="L23" s="15"/>
      <c r="M23" s="15"/>
      <c r="N23" s="15"/>
      <c r="O23" s="7">
        <f t="shared" ref="O23" si="2">+N23*I23</f>
        <v>0</v>
      </c>
    </row>
    <row r="24" spans="1:15" x14ac:dyDescent="0.35">
      <c r="A24" s="71">
        <v>11</v>
      </c>
      <c r="B24" s="72" t="s">
        <v>3</v>
      </c>
      <c r="C24" s="73" t="s">
        <v>31</v>
      </c>
      <c r="D24" s="72" t="str">
        <f>IF(C24&lt;&gt;"",VLOOKUP(C24,Preciario!$A$2:$D$66,2,FALSE),"")</f>
        <v>LIC_CAM</v>
      </c>
      <c r="E24" s="73" t="str">
        <f>IF(C24&lt;&gt;"",VLOOKUP(C24,Preciario!$A$2:$D$66,3,FALSE),"")</f>
        <v xml:space="preserve">Licenciamiento de cámara en servidor </v>
      </c>
      <c r="F24" s="24">
        <f>IF(C24&lt;&gt;"",VLOOKUP(C24,Preciario!$A$2:$D$66,4,FALSE),"")</f>
        <v>159.05000000000001</v>
      </c>
      <c r="G24" s="24">
        <f t="shared" si="0"/>
        <v>1749.5500000000002</v>
      </c>
      <c r="I24" s="16"/>
      <c r="J24" s="6" t="s">
        <v>3</v>
      </c>
      <c r="K24" s="15"/>
      <c r="L24" s="15"/>
      <c r="M24" s="15"/>
      <c r="N24" s="15"/>
      <c r="O24" s="7">
        <f t="shared" si="1"/>
        <v>0</v>
      </c>
    </row>
    <row r="25" spans="1:15" ht="87.5" x14ac:dyDescent="0.35">
      <c r="A25" s="71">
        <v>11</v>
      </c>
      <c r="B25" s="72" t="s">
        <v>3</v>
      </c>
      <c r="C25" s="73" t="s">
        <v>190</v>
      </c>
      <c r="D25" s="72" t="str">
        <f>IF(C25&lt;&gt;"",VLOOKUP(C25,Preciario!$A$2:$D$66,2,FALSE),"")</f>
        <v>DE.3001</v>
      </c>
      <c r="E25" s="73" t="str">
        <f>IF(C25&lt;&gt;"",VLOOKUP(C25,Preciario!$A$2:$D$66,3,FALSE),"")</f>
        <v xml:space="preserve">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 Incluida instalación y configuración. </v>
      </c>
      <c r="F25" s="24">
        <f>IF(C25&lt;&gt;"",VLOOKUP(C25,Preciario!$A$2:$D$66,4,FALSE),"")</f>
        <v>392</v>
      </c>
      <c r="G25" s="24">
        <f t="shared" si="0"/>
        <v>4312</v>
      </c>
      <c r="I25" s="16"/>
      <c r="J25" s="6" t="s">
        <v>3</v>
      </c>
      <c r="K25" s="15"/>
      <c r="L25" s="15"/>
      <c r="M25" s="15"/>
      <c r="N25" s="15"/>
      <c r="O25" s="7">
        <f t="shared" si="1"/>
        <v>0</v>
      </c>
    </row>
    <row r="26" spans="1:15" ht="50" x14ac:dyDescent="0.35">
      <c r="A26" s="71">
        <v>11</v>
      </c>
      <c r="B26" s="72" t="s">
        <v>3</v>
      </c>
      <c r="C26" s="73" t="s">
        <v>189</v>
      </c>
      <c r="D26" s="72" t="str">
        <f>IF(C26&lt;&gt;"",VLOOKUP(C26,Preciario!$A$2:$D$66,2,FALSE),"")</f>
        <v>ACAP PER_DEF</v>
      </c>
      <c r="E26" s="73" t="str">
        <f>IF(C26&lt;&gt;"",VLOOKUP(C26,Preciario!$A$2:$D$66,3,FALSE),"")</f>
        <v xml:space="preserve">Licencia de unidad única para AXIS Perimeter Defender, una aplicación de análisis de video escalable y flexible para vigilancia y protección perimetral. Incluida instalación y configuración. </v>
      </c>
      <c r="F26" s="24">
        <f>IF(C26&lt;&gt;"",VLOOKUP(C26,Preciario!$A$2:$D$66,4,FALSE),"")</f>
        <v>299</v>
      </c>
      <c r="G26" s="24">
        <f t="shared" si="0"/>
        <v>3289</v>
      </c>
      <c r="I26" s="16"/>
      <c r="J26" s="6" t="s">
        <v>3</v>
      </c>
      <c r="K26" s="15"/>
      <c r="L26" s="15"/>
      <c r="M26" s="15"/>
      <c r="N26" s="15"/>
      <c r="O26" s="7">
        <f t="shared" si="1"/>
        <v>0</v>
      </c>
    </row>
    <row r="27" spans="1:15" ht="112.5" x14ac:dyDescent="0.35">
      <c r="A27" s="71">
        <v>5</v>
      </c>
      <c r="B27" s="72" t="s">
        <v>3</v>
      </c>
      <c r="C27" s="73" t="s">
        <v>236</v>
      </c>
      <c r="D27" s="72" t="str">
        <f>IF(C27&lt;&gt;"",VLOOKUP(C27,Preciario!$A$2:$D$66,2,FALSE),"")</f>
        <v>IGS-5225-8P2S2X</v>
      </c>
      <c r="E27" s="73" t="str">
        <f>IF(C27&lt;&gt;"",VLOOKUP(C27,Preciario!$A$2:$D$66,3,FALSE),"")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27" s="24">
        <f>IF(C27&lt;&gt;"",VLOOKUP(C27,Preciario!$A$2:$D$66,4,FALSE),"")</f>
        <v>957.6</v>
      </c>
      <c r="G27" s="24">
        <f t="shared" si="0"/>
        <v>4788</v>
      </c>
      <c r="I27" s="16"/>
      <c r="J27" s="6" t="s">
        <v>3</v>
      </c>
      <c r="K27" s="15"/>
      <c r="L27" s="15"/>
      <c r="M27" s="15"/>
      <c r="N27" s="15"/>
      <c r="O27" s="7">
        <f t="shared" si="1"/>
        <v>0</v>
      </c>
    </row>
    <row r="28" spans="1:15" ht="25" x14ac:dyDescent="0.35">
      <c r="A28" s="71">
        <v>10</v>
      </c>
      <c r="B28" s="72" t="s">
        <v>3</v>
      </c>
      <c r="C28" s="73" t="s">
        <v>243</v>
      </c>
      <c r="D28" s="72" t="str">
        <f>IF(C28&lt;&gt;"",VLOOKUP(C28,Preciario!$A$2:$D$66,2,FALSE),"")</f>
        <v>MTB-TSR2</v>
      </c>
      <c r="E28" s="73" t="str">
        <f>IF(C28&lt;&gt;"",VLOOKUP(C28,Preciario!$A$2:$D$66,3,FALSE),"")</f>
        <v>Módulo de fibra óptica 10GBASE-LR SFP+ de 1 puerto: 2 km (-40~75 grados C)</v>
      </c>
      <c r="F28" s="24">
        <f>IF(C28&lt;&gt;"",VLOOKUP(C28,Preciario!$A$2:$D$66,4,FALSE),"")</f>
        <v>104</v>
      </c>
      <c r="G28" s="24">
        <f t="shared" si="0"/>
        <v>1040</v>
      </c>
      <c r="I28" s="16"/>
      <c r="J28" s="6" t="s">
        <v>3</v>
      </c>
      <c r="K28" s="15"/>
      <c r="L28" s="15"/>
      <c r="M28" s="15"/>
      <c r="N28" s="15"/>
      <c r="O28" s="7">
        <f t="shared" si="1"/>
        <v>0</v>
      </c>
    </row>
    <row r="29" spans="1:15" ht="150" x14ac:dyDescent="0.35">
      <c r="A29" s="71">
        <v>5</v>
      </c>
      <c r="B29" s="72" t="s">
        <v>3</v>
      </c>
      <c r="C29" s="73" t="s">
        <v>42</v>
      </c>
      <c r="D29" s="72" t="str">
        <f>IF(C29&lt;&gt;"",VLOOKUP(C29,Preciario!$A$2:$D$66,2,FALSE),"")</f>
        <v>AM60x40</v>
      </c>
      <c r="E29" s="73" t="str">
        <f>IF(C29&lt;&gt;"",VLOOKUP(C29,Preciario!$A$2:$D$66,3,FALSE),"")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29" s="24">
        <f>IF(C29&lt;&gt;"",VLOOKUP(C29,Preciario!$A$2:$D$66,4,FALSE),"")</f>
        <v>862.465236111114</v>
      </c>
      <c r="G29" s="24">
        <f t="shared" si="0"/>
        <v>4312.3261805555703</v>
      </c>
      <c r="I29" s="16"/>
      <c r="J29" s="6" t="s">
        <v>3</v>
      </c>
      <c r="K29" s="15"/>
      <c r="L29" s="15"/>
      <c r="M29" s="15"/>
      <c r="N29" s="15"/>
      <c r="O29" s="7">
        <f t="shared" si="1"/>
        <v>0</v>
      </c>
    </row>
    <row r="30" spans="1:15" ht="25" x14ac:dyDescent="0.35">
      <c r="A30" s="71">
        <v>1000</v>
      </c>
      <c r="B30" s="72" t="s">
        <v>10</v>
      </c>
      <c r="C30" s="73" t="s">
        <v>275</v>
      </c>
      <c r="D30" s="72" t="str">
        <f>IF(C30&lt;&gt;"",VLOOKUP(C30,Preciario!$A$2:$D$66,2,FALSE),"")</f>
        <v>C_ELE_3X2,5</v>
      </c>
      <c r="E30" s="73" t="str">
        <f>IF(C30&lt;&gt;"",VLOOKUP(C30,Preciario!$A$2:$D$66,3,FALSE),"")</f>
        <v>Suministro e instalación de manguera exterior RZ1-K 3x2,5mm</v>
      </c>
      <c r="F30" s="24">
        <f>IF(C30&lt;&gt;"",VLOOKUP(C30,Preciario!$A$2:$D$66,4,FALSE),"")</f>
        <v>4</v>
      </c>
      <c r="G30" s="24">
        <f t="shared" si="0"/>
        <v>4000</v>
      </c>
      <c r="I30" s="16"/>
      <c r="J30" s="6" t="s">
        <v>10</v>
      </c>
      <c r="K30" s="15"/>
      <c r="L30" s="15"/>
      <c r="M30" s="15"/>
      <c r="N30" s="15"/>
      <c r="O30" s="7">
        <f t="shared" si="1"/>
        <v>0</v>
      </c>
    </row>
    <row r="31" spans="1:15" ht="62.5" x14ac:dyDescent="0.35">
      <c r="A31" s="71">
        <v>1200</v>
      </c>
      <c r="B31" s="72" t="s">
        <v>10</v>
      </c>
      <c r="C31" s="73" t="s">
        <v>277</v>
      </c>
      <c r="D31" s="72" t="str">
        <f>IF(C31&lt;&gt;"",VLOOKUP(C31,Preciario!$A$2:$D$66,2,FALSE),"")</f>
        <v>FTP_CAT6A/CAT7</v>
      </c>
      <c r="E31" s="73" t="str">
        <f>IF(C31&lt;&gt;"",VLOOKUP(C31,Preciario!$A$2:$D$66,3,FALSE),"")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31" s="24">
        <f>IF(C31&lt;&gt;"",VLOOKUP(C31,Preciario!$A$2:$D$66,4,FALSE),"")</f>
        <v>4.8</v>
      </c>
      <c r="G31" s="24">
        <f t="shared" si="0"/>
        <v>5760</v>
      </c>
      <c r="I31" s="16"/>
      <c r="J31" s="6" t="s">
        <v>10</v>
      </c>
      <c r="K31" s="15"/>
      <c r="L31" s="15"/>
      <c r="M31" s="15"/>
      <c r="N31" s="15"/>
      <c r="O31" s="7">
        <f t="shared" si="1"/>
        <v>0</v>
      </c>
    </row>
    <row r="32" spans="1:15" ht="50" x14ac:dyDescent="0.35">
      <c r="A32" s="71">
        <v>1300</v>
      </c>
      <c r="B32" s="72" t="s">
        <v>10</v>
      </c>
      <c r="C32" s="73" t="s">
        <v>278</v>
      </c>
      <c r="D32" s="72" t="str">
        <f>IF(C32&lt;&gt;"",VLOOKUP(C32,Preciario!$A$2:$D$66,2,FALSE),"")</f>
        <v>FO_OS2</v>
      </c>
      <c r="E32" s="73" t="str">
        <f>IF(C32&lt;&gt;"",VLOOKUP(C32,Preciario!$A$2:$D$66,3,FALSE),"")</f>
        <v xml:space="preserve">Suministro e instalación de manguera de fibra óptica de exterior con cubierta de PE protección UV, malla-chapa antiroedor, CPR, 12 FO SM, de tipo OS2 pp. Conexionado fusiones y certificación </v>
      </c>
      <c r="F32" s="24">
        <f>IF(C32&lt;&gt;"",VLOOKUP(C32,Preciario!$A$2:$D$66,4,FALSE),"")</f>
        <v>5.2</v>
      </c>
      <c r="G32" s="24">
        <f t="shared" si="0"/>
        <v>6760</v>
      </c>
      <c r="I32" s="16"/>
      <c r="J32" s="6" t="s">
        <v>10</v>
      </c>
      <c r="K32" s="15"/>
      <c r="L32" s="15"/>
      <c r="M32" s="15"/>
      <c r="N32" s="15"/>
      <c r="O32" s="7">
        <f t="shared" ref="O32:O37" si="3">+N32*I32</f>
        <v>0</v>
      </c>
    </row>
    <row r="33" spans="1:15" ht="75" x14ac:dyDescent="0.35">
      <c r="A33" s="71">
        <v>11</v>
      </c>
      <c r="B33" s="72" t="s">
        <v>3</v>
      </c>
      <c r="C33" s="73" t="s">
        <v>234</v>
      </c>
      <c r="D33" s="72" t="str">
        <f>IF(C33&lt;&gt;"",VLOOKUP(C33,Preciario!$A$2:$D$66,2,FALSE),"")</f>
        <v>ZPT606060</v>
      </c>
      <c r="E33" s="73" t="str">
        <f>IF(C33&lt;&gt;"",VLOOKUP(C33,Preciario!$A$2:$D$66,3,FALSE),"")</f>
        <v>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v>
      </c>
      <c r="F33" s="24">
        <f>IF(C33&lt;&gt;"",VLOOKUP(C33,Preciario!$A$2:$D$66,4,FALSE),"")</f>
        <v>226.5</v>
      </c>
      <c r="G33" s="24">
        <f t="shared" si="0"/>
        <v>2491.5</v>
      </c>
      <c r="I33" s="16"/>
      <c r="J33" s="6" t="s">
        <v>3</v>
      </c>
      <c r="K33" s="15"/>
      <c r="L33" s="15"/>
      <c r="M33" s="15"/>
      <c r="N33" s="15"/>
      <c r="O33" s="7">
        <f t="shared" si="3"/>
        <v>0</v>
      </c>
    </row>
    <row r="34" spans="1:15" ht="37.5" x14ac:dyDescent="0.35">
      <c r="A34" s="71">
        <v>2</v>
      </c>
      <c r="B34" s="72" t="s">
        <v>3</v>
      </c>
      <c r="C34" s="73" t="s">
        <v>286</v>
      </c>
      <c r="D34" s="158" t="str">
        <f>IF(C34&lt;&gt;"",VLOOKUP(C34,Preciario!$A$2:$D$66,2,FALSE),"")</f>
        <v>Río</v>
      </c>
      <c r="E34" s="73" t="str">
        <f>IF(C34&lt;&gt;"",VLOOKUP(C34,Preciario!$A$2:$D$66,3,FALSE),"")</f>
        <v>Módulo expansor de zonas, para ampliación de la capacidad de entradas de la central de intrusión ofertada. Incluida fuente de alimentación y batería</v>
      </c>
      <c r="F34" s="24">
        <f>IF(C34&lt;&gt;"",VLOOKUP(C34,Preciario!$A$2:$D$66,4,FALSE),"")</f>
        <v>350</v>
      </c>
      <c r="G34" s="24">
        <f t="shared" si="0"/>
        <v>700</v>
      </c>
      <c r="H34" s="49"/>
      <c r="I34" s="16"/>
      <c r="J34" s="6" t="s">
        <v>3</v>
      </c>
      <c r="K34" s="15"/>
      <c r="L34" s="15"/>
      <c r="M34" s="15"/>
      <c r="N34" s="15"/>
      <c r="O34" s="7">
        <f t="shared" si="3"/>
        <v>0</v>
      </c>
    </row>
    <row r="35" spans="1:15" ht="112.4" customHeight="1" x14ac:dyDescent="0.35">
      <c r="A35" s="71">
        <v>2</v>
      </c>
      <c r="B35" s="72" t="s">
        <v>3</v>
      </c>
      <c r="C35" s="73" t="s">
        <v>289</v>
      </c>
      <c r="D35" s="72" t="str">
        <f>IF(C35&lt;&gt;"",VLOOKUP(C35,Preciario!$A$2:$D$66,2,FALSE),"")</f>
        <v>MOXA Iologik E1214</v>
      </c>
      <c r="E35" s="73" t="str">
        <f>IF(C35&lt;&gt;"",VLOOKUP(C35,Preciario!$A$2:$D$66,3,FALSE),"")</f>
        <v>Módulo de E/S digitales Ethernet. Seis puertos de entrada digital y 6 puertos de salida digital mediante Relé. Entradas digitales: 6 canales. Relés: 6 canales. Aislamiento: 3k VDC o 2k Vrms. Tipo de sensor: contacto húmedo (NPN o PNP), contacto seco. Modo I/O: DI o contador de eventos. Contacto seco: Encendido: corto a GND. Apagado: abierto. Contacto húmedo (DI a COM): Encendido: 10 a 30 VCC. Apagado: 0 a 3 VCC. Según características descritas en PPT.</v>
      </c>
      <c r="F35" s="24">
        <f>IF(C35&lt;&gt;"",VLOOKUP(C35,Preciario!$A$2:$D$66,4,FALSE),"")</f>
        <v>300</v>
      </c>
      <c r="G35" s="24">
        <f t="shared" si="0"/>
        <v>600</v>
      </c>
      <c r="H35" s="49"/>
      <c r="I35" s="16"/>
      <c r="J35" s="6" t="s">
        <v>3</v>
      </c>
      <c r="K35" s="15"/>
      <c r="L35" s="15"/>
      <c r="M35" s="15"/>
      <c r="N35" s="15"/>
      <c r="O35" s="7">
        <f t="shared" si="3"/>
        <v>0</v>
      </c>
    </row>
    <row r="36" spans="1:15" ht="25" x14ac:dyDescent="0.35">
      <c r="A36" s="71">
        <v>1</v>
      </c>
      <c r="B36" s="72" t="s">
        <v>11</v>
      </c>
      <c r="C36" s="73" t="s">
        <v>307</v>
      </c>
      <c r="D36" s="72" t="s">
        <v>164</v>
      </c>
      <c r="E36" s="73" t="str">
        <f>IF(C36&lt;&gt;"",VLOOKUP(C36,Preciario!$A$2:$D$66,3,FALSE),"")</f>
        <v>Partida de mano de obra para configuración módulos IO en abonado CRA</v>
      </c>
      <c r="F36" s="24">
        <v>350</v>
      </c>
      <c r="G36" s="24">
        <f t="shared" si="0"/>
        <v>350</v>
      </c>
      <c r="I36" s="16"/>
      <c r="J36" s="6" t="s">
        <v>11</v>
      </c>
      <c r="K36" s="15"/>
      <c r="L36" s="15"/>
      <c r="M36" s="15"/>
      <c r="N36" s="15"/>
      <c r="O36" s="7">
        <f t="shared" si="3"/>
        <v>0</v>
      </c>
    </row>
    <row r="37" spans="1:15" ht="25" x14ac:dyDescent="0.35">
      <c r="A37" s="71">
        <f>'Presupuesto Total'!D32</f>
        <v>1</v>
      </c>
      <c r="B37" s="72" t="s">
        <v>11</v>
      </c>
      <c r="C37" s="73" t="s">
        <v>163</v>
      </c>
      <c r="D37" s="72" t="s">
        <v>164</v>
      </c>
      <c r="E37" s="73" t="str">
        <f>IF(C37&lt;&gt;"",VLOOKUP(C37,Preciario!$A$2:$D$66,3,FALSE),"")</f>
        <v>Partida ayudas auxiliares en equipamiento y mano de obra en sistemas de energía</v>
      </c>
      <c r="F37" s="24">
        <v>4665.3150000000005</v>
      </c>
      <c r="G37" s="24">
        <f t="shared" si="0"/>
        <v>4665.3150000000005</v>
      </c>
      <c r="H37" s="49"/>
      <c r="I37" s="16"/>
      <c r="J37" s="6" t="s">
        <v>11</v>
      </c>
      <c r="K37" s="15"/>
      <c r="L37" s="15"/>
      <c r="M37" s="15"/>
      <c r="N37" s="15"/>
      <c r="O37" s="7">
        <f t="shared" si="3"/>
        <v>0</v>
      </c>
    </row>
    <row r="38" spans="1:15" ht="25" x14ac:dyDescent="0.35">
      <c r="A38" s="71">
        <f>'Presupuesto Total'!D33</f>
        <v>1</v>
      </c>
      <c r="B38" s="72" t="s">
        <v>11</v>
      </c>
      <c r="C38" s="73" t="s">
        <v>185</v>
      </c>
      <c r="D38" s="72" t="s">
        <v>162</v>
      </c>
      <c r="E38" s="73" t="str">
        <f>IF(C38&lt;&gt;"",VLOOKUP(C38,Preciario!$A$2:$D$66,3,FALSE),"")</f>
        <v>Partida ayudas auxiliares en equipamiento y mano de obra en albañilería</v>
      </c>
      <c r="F38" s="24">
        <v>4665.3150000000005</v>
      </c>
      <c r="G38" s="24">
        <f t="shared" si="0"/>
        <v>4665.3150000000005</v>
      </c>
      <c r="I38" s="16"/>
      <c r="J38" s="6" t="s">
        <v>11</v>
      </c>
      <c r="K38" s="15"/>
      <c r="L38" s="15"/>
      <c r="M38" s="15"/>
      <c r="N38" s="15"/>
      <c r="O38" s="7">
        <f>+N38*I38</f>
        <v>0</v>
      </c>
    </row>
    <row r="39" spans="1:15" x14ac:dyDescent="0.35">
      <c r="A39" s="8"/>
      <c r="B39" s="8"/>
      <c r="C39" s="9"/>
      <c r="D39" s="9"/>
      <c r="E39" s="9"/>
      <c r="F39" s="19" t="s">
        <v>4</v>
      </c>
      <c r="G39" s="20">
        <f>SUM(G20:G38)</f>
        <v>99077.006180555574</v>
      </c>
      <c r="I39" s="8"/>
      <c r="J39" s="8"/>
      <c r="K39" s="9"/>
      <c r="L39" s="9"/>
      <c r="M39" s="9"/>
      <c r="N39" s="19" t="s">
        <v>4</v>
      </c>
      <c r="O39" s="20">
        <f>SUM(O20:O38)</f>
        <v>0</v>
      </c>
    </row>
    <row r="40" spans="1:15" x14ac:dyDescent="0.35">
      <c r="A40" s="10"/>
      <c r="B40" s="10"/>
      <c r="C40" s="11"/>
      <c r="D40" s="11"/>
      <c r="E40" s="11"/>
      <c r="F40" s="11"/>
      <c r="G40" s="11"/>
      <c r="I40" s="10"/>
      <c r="J40" s="10"/>
      <c r="K40" s="11"/>
      <c r="L40" s="11"/>
      <c r="M40" s="11"/>
      <c r="N40" s="11"/>
      <c r="O40" s="11" t="s">
        <v>196</v>
      </c>
    </row>
    <row r="41" spans="1:15" x14ac:dyDescent="0.35">
      <c r="A41" s="198" t="s">
        <v>290</v>
      </c>
      <c r="B41" s="199"/>
      <c r="C41" s="200"/>
      <c r="D41" s="4"/>
      <c r="E41" s="4"/>
      <c r="F41" s="4"/>
      <c r="G41" s="5"/>
      <c r="I41" s="198" t="s">
        <v>195</v>
      </c>
      <c r="J41" s="199"/>
      <c r="K41" s="200"/>
      <c r="L41" s="87"/>
      <c r="M41" s="87"/>
      <c r="N41" s="4"/>
      <c r="O41" s="4"/>
    </row>
    <row r="42" spans="1:15" x14ac:dyDescent="0.35">
      <c r="A42" s="197" t="s">
        <v>0</v>
      </c>
      <c r="B42" s="197"/>
      <c r="C42" s="12" t="s">
        <v>13</v>
      </c>
      <c r="D42" s="12" t="s">
        <v>14</v>
      </c>
      <c r="E42" s="12" t="s">
        <v>256</v>
      </c>
      <c r="F42" s="12" t="s">
        <v>2</v>
      </c>
      <c r="G42" s="13" t="s">
        <v>7</v>
      </c>
      <c r="I42" s="197" t="s">
        <v>0</v>
      </c>
      <c r="J42" s="197"/>
      <c r="K42" s="12" t="s">
        <v>13</v>
      </c>
      <c r="L42" s="12" t="s">
        <v>14</v>
      </c>
      <c r="M42" s="12" t="s">
        <v>256</v>
      </c>
      <c r="N42" s="12" t="s">
        <v>2</v>
      </c>
      <c r="O42" s="13" t="s">
        <v>7</v>
      </c>
    </row>
    <row r="43" spans="1:15" x14ac:dyDescent="0.35">
      <c r="A43" s="71">
        <v>2</v>
      </c>
      <c r="B43" s="72" t="s">
        <v>3</v>
      </c>
      <c r="C43" s="73" t="s">
        <v>212</v>
      </c>
      <c r="D43" s="72" t="str">
        <f>IF(C43&lt;&gt;"",VLOOKUP(C43,Preciario!$A$2:$D$66,2,FALSE),"")</f>
        <v>HDD10TB</v>
      </c>
      <c r="E43" s="73" t="str">
        <f>IF(C43&lt;&gt;"",VLOOKUP(C43,Preciario!$A$2:$D$66,3,FALSE),"")</f>
        <v>Disco duro SERVIDOR 10TB</v>
      </c>
      <c r="F43" s="24">
        <f>IF(C43&lt;&gt;"",VLOOKUP(C43,Preciario!$A$2:$D$66,4,FALSE),"")</f>
        <v>514.30000000000007</v>
      </c>
      <c r="G43" s="24">
        <f>A43*F43</f>
        <v>1028.6000000000001</v>
      </c>
      <c r="I43" s="16"/>
      <c r="J43" s="6" t="s">
        <v>3</v>
      </c>
      <c r="K43" s="15"/>
      <c r="L43" s="15"/>
      <c r="M43" s="15"/>
      <c r="N43" s="15"/>
      <c r="O43" s="7">
        <f t="shared" ref="O43:O45" si="4">+N43*I43</f>
        <v>0</v>
      </c>
    </row>
    <row r="44" spans="1:15" x14ac:dyDescent="0.35">
      <c r="A44" s="71">
        <v>1</v>
      </c>
      <c r="B44" s="72" t="s">
        <v>3</v>
      </c>
      <c r="C44" s="73" t="s">
        <v>224</v>
      </c>
      <c r="D44" s="72" t="str">
        <f>IF(C44&lt;&gt;"",VLOOKUP(C44,Preciario!$A$2:$D$66,2,FALSE),"")</f>
        <v>RAM8GB</v>
      </c>
      <c r="E44" s="73" t="str">
        <f>IF(C44&lt;&gt;"",VLOOKUP(C44,Preciario!$A$2:$D$66,3,FALSE),"")</f>
        <v>Memoría RAM 8GB</v>
      </c>
      <c r="F44" s="24">
        <f>IF(C44&lt;&gt;"",VLOOKUP(C44,Preciario!$A$2:$D$66,4,FALSE),"")</f>
        <v>51.800000000000004</v>
      </c>
      <c r="G44" s="24">
        <f>A44*F44</f>
        <v>51.800000000000004</v>
      </c>
      <c r="I44" s="16"/>
      <c r="J44" s="6" t="s">
        <v>3</v>
      </c>
      <c r="K44" s="15"/>
      <c r="L44" s="15"/>
      <c r="M44" s="15"/>
      <c r="N44" s="15"/>
      <c r="O44" s="7">
        <f t="shared" si="4"/>
        <v>0</v>
      </c>
    </row>
    <row r="45" spans="1:15" x14ac:dyDescent="0.35">
      <c r="A45" s="71">
        <v>1</v>
      </c>
      <c r="B45" s="72" t="s">
        <v>11</v>
      </c>
      <c r="C45" s="73" t="s">
        <v>207</v>
      </c>
      <c r="D45" s="72" t="s">
        <v>208</v>
      </c>
      <c r="E45" s="73" t="s">
        <v>207</v>
      </c>
      <c r="F45" s="24">
        <v>159.5625</v>
      </c>
      <c r="G45" s="24">
        <f>A45*F45</f>
        <v>159.5625</v>
      </c>
      <c r="I45" s="16"/>
      <c r="J45" s="6" t="s">
        <v>11</v>
      </c>
      <c r="K45" s="15"/>
      <c r="L45" s="15"/>
      <c r="M45" s="15"/>
      <c r="N45" s="15"/>
      <c r="O45" s="7">
        <f t="shared" si="4"/>
        <v>0</v>
      </c>
    </row>
    <row r="46" spans="1:15" x14ac:dyDescent="0.35">
      <c r="A46" s="8"/>
      <c r="B46" s="8"/>
      <c r="C46" s="9"/>
      <c r="D46" s="9"/>
      <c r="E46" s="9"/>
      <c r="F46" s="19" t="s">
        <v>4</v>
      </c>
      <c r="G46" s="20">
        <f>SUM(G43:G45)</f>
        <v>1239.9625000000001</v>
      </c>
      <c r="I46" s="8"/>
      <c r="J46" s="8"/>
      <c r="K46" s="9"/>
      <c r="L46" s="9"/>
      <c r="M46" s="9"/>
      <c r="N46" s="19" t="s">
        <v>4</v>
      </c>
      <c r="O46" s="20">
        <f>SUM(O43:O45)</f>
        <v>0</v>
      </c>
    </row>
    <row r="47" spans="1:15" x14ac:dyDescent="0.35">
      <c r="A47" s="10"/>
      <c r="B47" s="10"/>
      <c r="C47" s="11"/>
      <c r="D47" s="11"/>
      <c r="E47" s="11"/>
      <c r="F47" s="11"/>
      <c r="G47" s="11"/>
      <c r="I47" s="10"/>
      <c r="J47" s="10"/>
      <c r="K47" s="11"/>
      <c r="L47" s="11"/>
      <c r="M47" s="11"/>
      <c r="N47" s="11"/>
      <c r="O47" s="11"/>
    </row>
    <row r="48" spans="1:15" x14ac:dyDescent="0.35">
      <c r="A48" s="194" t="s">
        <v>117</v>
      </c>
      <c r="B48" s="195"/>
      <c r="C48" s="195"/>
      <c r="D48" s="195"/>
      <c r="E48" s="195"/>
      <c r="F48" s="196"/>
      <c r="G48" s="22">
        <f>G39+G46</f>
        <v>100316.96868055557</v>
      </c>
      <c r="I48" s="194" t="s">
        <v>117</v>
      </c>
      <c r="J48" s="195"/>
      <c r="K48" s="195"/>
      <c r="L48" s="195"/>
      <c r="M48" s="195"/>
      <c r="N48" s="196"/>
      <c r="O48" s="25">
        <f>O39+O46</f>
        <v>0</v>
      </c>
    </row>
  </sheetData>
  <sheetProtection algorithmName="SHA-512" hashValue="ATnqq1teERWQHTupgt58AeGdbc6y3Wq/WWRC1dsWQi0cU7zI73SGp0KD/eT9hL2Ki5M3eY8BE4ET/1Ky+Tp2KQ==" saltValue="yjUKzpcPu006kYArKy7sUg==" spinCount="100000" sheet="1" selectLockedCells="1"/>
  <mergeCells count="14">
    <mergeCell ref="A42:B42"/>
    <mergeCell ref="I42:J42"/>
    <mergeCell ref="A19:B19"/>
    <mergeCell ref="I19:J19"/>
    <mergeCell ref="A48:F48"/>
    <mergeCell ref="I48:N48"/>
    <mergeCell ref="A41:C41"/>
    <mergeCell ref="I41:K41"/>
    <mergeCell ref="D3:K6"/>
    <mergeCell ref="A9:O9"/>
    <mergeCell ref="C11:D11"/>
    <mergeCell ref="K11:L11"/>
    <mergeCell ref="A18:C18"/>
    <mergeCell ref="I18:K18"/>
  </mergeCells>
  <dataValidations count="3">
    <dataValidation type="decimal" allowBlank="1" showInputMessage="1" showErrorMessage="1" error="Introducir Precio Unitario" sqref="F19 N19 N42 F42" xr:uid="{55BA6648-8408-4623-ADE2-ABE63188D456}">
      <formula1>1</formula1>
      <formula2>100000</formula2>
    </dataValidation>
    <dataValidation type="decimal" allowBlank="1" showErrorMessage="1" error="Introducir Precio Unitario" sqref="N18 N39 N41 N46" xr:uid="{1EE38D09-80E4-4F67-B42D-FE6D4A0DFFE0}">
      <formula1>1</formula1>
      <formula2>100000</formula2>
    </dataValidation>
    <dataValidation type="whole" allowBlank="1" showInputMessage="1" showErrorMessage="1" error="Introducir Unidades" sqref="A42 A19 I19 I39 I42 I46" xr:uid="{A859829B-89CD-4AE8-8DEA-1C34E901E5C3}">
      <formula1>1</formula1>
      <formula2>1000</formula2>
    </dataValidation>
  </dataValidations>
  <hyperlinks>
    <hyperlink ref="H11" location="'Presupuesto Total'!A1" display="ÍNDICE" xr:uid="{9835B774-7335-4058-991F-9D85935F0EED}"/>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B558A-6457-4E85-9720-B78575B93A4B}">
  <dimension ref="A3:U95"/>
  <sheetViews>
    <sheetView showGridLines="0" showRowColHeaders="0" topLeftCell="E70" zoomScale="70" zoomScaleNormal="70" workbookViewId="0">
      <selection activeCell="K76" activeCellId="7" sqref="I23:I31 K23:N31 I36:I58 K36:N58 I63:I71 K63:N71 I76:I77 K76:N77"/>
    </sheetView>
  </sheetViews>
  <sheetFormatPr baseColWidth="10" defaultColWidth="11.54296875" defaultRowHeight="14.5" x14ac:dyDescent="0.35"/>
  <cols>
    <col min="1" max="1" width="8.08984375" style="1" customWidth="1"/>
    <col min="2" max="2" width="3" style="1" bestFit="1" customWidth="1"/>
    <col min="3" max="3" width="49.54296875" style="1" customWidth="1"/>
    <col min="4" max="4" width="18.90625" style="1" customWidth="1"/>
    <col min="5" max="5" width="51.08984375" style="1" customWidth="1"/>
    <col min="6" max="6" width="13.54296875" style="1" bestFit="1" customWidth="1"/>
    <col min="7" max="7" width="14.90625" style="1" bestFit="1" customWidth="1"/>
    <col min="8" max="9" width="11.54296875" style="1"/>
    <col min="10" max="10" width="3" style="1" bestFit="1" customWidth="1"/>
    <col min="11" max="11" width="48.90625" style="1" bestFit="1" customWidth="1"/>
    <col min="12" max="12" width="19.453125" style="1" bestFit="1" customWidth="1"/>
    <col min="13" max="13" width="22.453125" style="1" customWidth="1"/>
    <col min="14" max="14" width="16" style="1" bestFit="1" customWidth="1"/>
    <col min="15" max="15" width="14.453125" style="1" bestFit="1" customWidth="1"/>
    <col min="16" max="16384" width="11.54296875" style="1"/>
  </cols>
  <sheetData>
    <row r="3" spans="1:21" ht="14.4" customHeight="1" x14ac:dyDescent="0.35">
      <c r="D3" s="201" t="s">
        <v>300</v>
      </c>
      <c r="E3" s="202"/>
      <c r="F3" s="202"/>
      <c r="G3" s="202"/>
      <c r="H3" s="202"/>
      <c r="I3" s="202"/>
      <c r="J3" s="202"/>
      <c r="K3" s="202"/>
      <c r="N3" s="23"/>
    </row>
    <row r="4" spans="1:21" ht="14.4" customHeight="1" x14ac:dyDescent="0.35">
      <c r="D4" s="201"/>
      <c r="E4" s="202"/>
      <c r="F4" s="202"/>
      <c r="G4" s="202"/>
      <c r="H4" s="202"/>
      <c r="I4" s="202"/>
      <c r="J4" s="202"/>
      <c r="K4" s="202"/>
      <c r="N4" s="23"/>
    </row>
    <row r="5" spans="1:21" ht="14.4" customHeight="1" x14ac:dyDescent="0.35">
      <c r="D5" s="201"/>
      <c r="E5" s="202"/>
      <c r="F5" s="202"/>
      <c r="G5" s="202"/>
      <c r="H5" s="202"/>
      <c r="I5" s="202"/>
      <c r="J5" s="202"/>
      <c r="K5" s="202"/>
      <c r="N5" s="23"/>
    </row>
    <row r="6" spans="1:21" ht="14.4" customHeight="1" x14ac:dyDescent="0.35">
      <c r="D6" s="201"/>
      <c r="E6" s="202"/>
      <c r="F6" s="202"/>
      <c r="G6" s="202"/>
      <c r="H6" s="202"/>
      <c r="I6" s="202"/>
      <c r="J6" s="202"/>
      <c r="K6" s="202"/>
      <c r="N6" s="23"/>
    </row>
    <row r="7" spans="1:21" ht="14.4" customHeight="1" x14ac:dyDescent="0.35">
      <c r="N7" s="23"/>
    </row>
    <row r="8" spans="1:21" ht="14.4" customHeight="1" x14ac:dyDescent="0.35">
      <c r="N8" s="23"/>
    </row>
    <row r="9" spans="1:21" ht="17.5" x14ac:dyDescent="0.35">
      <c r="A9" s="203"/>
      <c r="B9" s="203"/>
      <c r="C9" s="203"/>
      <c r="D9" s="203"/>
      <c r="E9" s="203"/>
      <c r="F9" s="203"/>
      <c r="G9" s="203"/>
      <c r="H9" s="203"/>
      <c r="I9" s="203"/>
      <c r="J9" s="203"/>
      <c r="K9" s="203"/>
      <c r="L9" s="203"/>
      <c r="M9" s="203"/>
      <c r="N9" s="203"/>
      <c r="O9" s="203"/>
    </row>
    <row r="10" spans="1:21" customFormat="1" ht="15" thickBot="1" x14ac:dyDescent="0.4">
      <c r="N10" s="1"/>
      <c r="O10" s="1"/>
    </row>
    <row r="11" spans="1:21" customFormat="1" ht="23.15" customHeight="1" thickBot="1" x14ac:dyDescent="0.4">
      <c r="C11" s="204" t="s">
        <v>16</v>
      </c>
      <c r="D11" s="205"/>
      <c r="E11" s="81"/>
      <c r="H11" s="45" t="s">
        <v>154</v>
      </c>
      <c r="I11" s="1"/>
      <c r="J11" s="1"/>
      <c r="K11" s="204" t="s">
        <v>15</v>
      </c>
      <c r="L11" s="205"/>
      <c r="M11" s="81"/>
      <c r="N11" s="1"/>
      <c r="O11" s="1"/>
      <c r="Q11" s="1"/>
      <c r="R11" s="1"/>
      <c r="S11" s="1"/>
      <c r="T11" s="1"/>
      <c r="U11" s="1"/>
    </row>
    <row r="12" spans="1:21" customFormat="1" x14ac:dyDescent="0.35">
      <c r="C12" s="1"/>
      <c r="D12" s="1"/>
      <c r="E12" s="82"/>
      <c r="F12" s="1"/>
      <c r="G12" s="1"/>
      <c r="I12" s="1"/>
      <c r="J12" s="1"/>
      <c r="K12" s="1"/>
      <c r="L12" s="1"/>
      <c r="M12" s="82"/>
      <c r="N12" s="1"/>
      <c r="O12" s="1"/>
      <c r="Q12" s="1"/>
      <c r="R12" s="1"/>
      <c r="S12" s="1"/>
      <c r="T12" s="1"/>
      <c r="U12" s="1"/>
    </row>
    <row r="13" spans="1:21" customFormat="1" ht="26" x14ac:dyDescent="0.35">
      <c r="C13" s="14" t="s">
        <v>122</v>
      </c>
      <c r="D13" s="14" t="s">
        <v>7</v>
      </c>
      <c r="E13" s="83"/>
      <c r="F13" s="1"/>
      <c r="G13" s="1"/>
      <c r="I13" s="1"/>
      <c r="J13" s="1"/>
      <c r="K13" s="14" t="s">
        <v>121</v>
      </c>
      <c r="L13" s="14" t="s">
        <v>17</v>
      </c>
      <c r="M13" s="83"/>
      <c r="N13" s="1"/>
      <c r="O13" s="1"/>
      <c r="Q13" s="1"/>
      <c r="R13" s="1"/>
      <c r="S13" s="1"/>
      <c r="T13" s="1"/>
      <c r="U13" s="1"/>
    </row>
    <row r="14" spans="1:21" customFormat="1" x14ac:dyDescent="0.35">
      <c r="C14" s="17" t="str">
        <f>A21</f>
        <v>1.- ATR</v>
      </c>
      <c r="D14" s="2">
        <f>G32</f>
        <v>6149.6125000000002</v>
      </c>
      <c r="E14" s="84"/>
      <c r="F14" s="1"/>
      <c r="G14" s="1"/>
      <c r="I14" s="1"/>
      <c r="J14" s="1"/>
      <c r="K14" s="17" t="str">
        <f>I21</f>
        <v>1.- ATR</v>
      </c>
      <c r="L14" s="2">
        <f>O32</f>
        <v>0</v>
      </c>
      <c r="M14" s="61"/>
      <c r="N14" s="1"/>
      <c r="O14" s="1"/>
      <c r="Q14" s="1"/>
      <c r="R14" s="1"/>
      <c r="S14" s="1"/>
      <c r="T14" s="1"/>
      <c r="U14" s="1"/>
    </row>
    <row r="15" spans="1:21" customFormat="1" x14ac:dyDescent="0.35">
      <c r="C15" s="17" t="str">
        <f>A34</f>
        <v>2.- PERÍMETRO</v>
      </c>
      <c r="D15" s="3">
        <f>G59</f>
        <v>130387.93391666671</v>
      </c>
      <c r="E15" s="62"/>
      <c r="F15" s="1"/>
      <c r="G15" s="1"/>
      <c r="I15" s="1"/>
      <c r="J15" s="1"/>
      <c r="K15" s="17" t="str">
        <f>I34</f>
        <v>2.- PERÍMETRO</v>
      </c>
      <c r="L15" s="3">
        <f>O59</f>
        <v>0</v>
      </c>
      <c r="M15" s="62"/>
      <c r="N15" s="1"/>
      <c r="O15" s="1"/>
      <c r="Q15" s="1"/>
      <c r="R15" s="1"/>
      <c r="S15" s="1"/>
      <c r="T15" s="1"/>
      <c r="U15" s="1"/>
    </row>
    <row r="16" spans="1:21" customFormat="1" x14ac:dyDescent="0.35">
      <c r="C16" s="17" t="str">
        <f>A61</f>
        <v>3.- ZONA DEPÓSITO</v>
      </c>
      <c r="D16" s="3">
        <f>G72</f>
        <v>7855.8150000000005</v>
      </c>
      <c r="E16" s="62"/>
      <c r="F16" s="1"/>
      <c r="G16" s="1"/>
      <c r="I16" s="1"/>
      <c r="J16" s="1"/>
      <c r="K16" s="17" t="str">
        <f>I61</f>
        <v>3.- ZONA DEPÓSITO</v>
      </c>
      <c r="L16" s="3">
        <f>O72</f>
        <v>0</v>
      </c>
      <c r="M16" s="62"/>
      <c r="N16" s="1"/>
      <c r="O16" s="1"/>
      <c r="Q16" s="1"/>
      <c r="R16" s="1"/>
      <c r="S16" s="1"/>
      <c r="T16" s="1"/>
      <c r="U16" s="1"/>
    </row>
    <row r="17" spans="1:21" customFormat="1" x14ac:dyDescent="0.35">
      <c r="C17" s="17" t="str">
        <f>A74</f>
        <v>4.- ACTUALIZACIÓN GRABADOR</v>
      </c>
      <c r="D17" s="3">
        <f>G78</f>
        <v>2118.25</v>
      </c>
      <c r="E17" s="62"/>
      <c r="F17" s="1"/>
      <c r="G17" s="1"/>
      <c r="I17" s="1"/>
      <c r="J17" s="1"/>
      <c r="K17" s="17" t="str">
        <f>I74</f>
        <v>4.- ACTUALIZACIÓN GRABADORES</v>
      </c>
      <c r="L17" s="3">
        <f>O78</f>
        <v>0</v>
      </c>
      <c r="M17" s="62"/>
      <c r="N17" s="1"/>
      <c r="O17" s="1"/>
      <c r="Q17" s="1"/>
      <c r="R17" s="1"/>
      <c r="S17" s="1"/>
      <c r="T17" s="1"/>
      <c r="U17" s="1"/>
    </row>
    <row r="18" spans="1:21" customFormat="1" ht="15.5" x14ac:dyDescent="0.35">
      <c r="C18" s="18" t="s">
        <v>8</v>
      </c>
      <c r="D18" s="21">
        <f>+SUM(D14:D17)</f>
        <v>146511.61141666671</v>
      </c>
      <c r="E18" s="63"/>
      <c r="F18" s="1"/>
      <c r="G18" s="1"/>
      <c r="I18" s="1"/>
      <c r="J18" s="1"/>
      <c r="K18" s="18" t="s">
        <v>8</v>
      </c>
      <c r="L18" s="21">
        <f>+SUM(L14:L17)</f>
        <v>0</v>
      </c>
      <c r="M18" s="63"/>
      <c r="N18" s="1"/>
      <c r="O18" s="1"/>
      <c r="Q18" s="1"/>
      <c r="R18" s="1"/>
      <c r="S18" s="1"/>
      <c r="T18" s="1"/>
      <c r="U18" s="1"/>
    </row>
    <row r="20" spans="1:21" x14ac:dyDescent="0.35">
      <c r="A20" s="10"/>
      <c r="B20" s="10"/>
      <c r="C20" s="11"/>
      <c r="D20" s="11"/>
      <c r="E20" s="11"/>
      <c r="F20" s="11"/>
      <c r="G20" s="11"/>
    </row>
    <row r="21" spans="1:21" ht="14.4" customHeight="1" x14ac:dyDescent="0.35">
      <c r="A21" s="198" t="s">
        <v>69</v>
      </c>
      <c r="B21" s="199"/>
      <c r="C21" s="200"/>
      <c r="D21" s="4"/>
      <c r="E21" s="4"/>
      <c r="F21" s="4"/>
      <c r="G21" s="5"/>
      <c r="I21" s="198" t="s">
        <v>69</v>
      </c>
      <c r="J21" s="199"/>
      <c r="K21" s="200"/>
      <c r="L21" s="87"/>
      <c r="M21" s="87"/>
      <c r="N21" s="4"/>
      <c r="O21" s="4"/>
    </row>
    <row r="22" spans="1:21" x14ac:dyDescent="0.35">
      <c r="A22" s="197" t="s">
        <v>0</v>
      </c>
      <c r="B22" s="197"/>
      <c r="C22" s="12" t="s">
        <v>13</v>
      </c>
      <c r="D22" s="12" t="s">
        <v>14</v>
      </c>
      <c r="E22" s="12" t="s">
        <v>256</v>
      </c>
      <c r="F22" s="12" t="s">
        <v>2</v>
      </c>
      <c r="G22" s="13" t="s">
        <v>7</v>
      </c>
      <c r="I22" s="197" t="s">
        <v>0</v>
      </c>
      <c r="J22" s="197"/>
      <c r="K22" s="12" t="s">
        <v>13</v>
      </c>
      <c r="L22" s="12" t="s">
        <v>14</v>
      </c>
      <c r="M22" s="12" t="s">
        <v>256</v>
      </c>
      <c r="N22" s="12" t="s">
        <v>2</v>
      </c>
      <c r="O22" s="13" t="s">
        <v>7</v>
      </c>
    </row>
    <row r="23" spans="1:21" ht="125" x14ac:dyDescent="0.35">
      <c r="A23" s="71">
        <v>1</v>
      </c>
      <c r="B23" s="72" t="s">
        <v>3</v>
      </c>
      <c r="C23" s="73" t="s">
        <v>72</v>
      </c>
      <c r="D23" s="72" t="str">
        <f>IF(C23&lt;&gt;"",VLOOKUP(C23,Preciario!$A$2:$D$66,2,FALSE),"")</f>
        <v>P3265LVE</v>
      </c>
      <c r="E23" s="73" t="str">
        <f>IF(C23&lt;&gt;"",VLOOKUP(C23,Preciario!$A$2:$D$66,3,FALSE),"")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23" s="24">
        <f>IF(C23&lt;&gt;"",VLOOKUP(C23,Preciario!$A$2:$D$66,4,FALSE),"")</f>
        <v>749</v>
      </c>
      <c r="G23" s="24">
        <f t="shared" ref="G23:G31" si="0">A23*F23</f>
        <v>749</v>
      </c>
      <c r="I23" s="16"/>
      <c r="J23" s="6" t="s">
        <v>3</v>
      </c>
      <c r="K23" s="15"/>
      <c r="L23" s="15"/>
      <c r="M23" s="15"/>
      <c r="N23" s="15"/>
      <c r="O23" s="7">
        <f t="shared" ref="O23:O31" si="1">+N23*I23</f>
        <v>0</v>
      </c>
    </row>
    <row r="24" spans="1:21" ht="62.5" x14ac:dyDescent="0.35">
      <c r="A24" s="71">
        <v>1</v>
      </c>
      <c r="B24" s="72" t="s">
        <v>3</v>
      </c>
      <c r="C24" s="73" t="s">
        <v>266</v>
      </c>
      <c r="D24" s="72" t="str">
        <f>IF(C24&lt;&gt;"",VLOOKUP(C24,Preciario!$A$2:$D$66,2,FALSE),"")</f>
        <v>T91B47</v>
      </c>
      <c r="E24" s="73" t="str">
        <f>IF(C24&lt;&gt;"",VLOOKUP(C24,Preciario!$A$2:$D$66,3,FALSE),"")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24" s="24">
        <f>IF(C24&lt;&gt;"",VLOOKUP(C24,Preciario!$A$2:$D$66,4,FALSE),"")</f>
        <v>89</v>
      </c>
      <c r="G24" s="24">
        <f t="shared" si="0"/>
        <v>89</v>
      </c>
      <c r="I24" s="16"/>
      <c r="J24" s="6" t="s">
        <v>3</v>
      </c>
      <c r="K24" s="15"/>
      <c r="L24" s="15"/>
      <c r="M24" s="15"/>
      <c r="N24" s="15"/>
      <c r="O24" s="7">
        <f t="shared" ref="O24" si="2">+N24*I24</f>
        <v>0</v>
      </c>
    </row>
    <row r="25" spans="1:21" x14ac:dyDescent="0.35">
      <c r="A25" s="71">
        <v>1</v>
      </c>
      <c r="B25" s="72" t="s">
        <v>3</v>
      </c>
      <c r="C25" s="73" t="s">
        <v>31</v>
      </c>
      <c r="D25" s="72" t="str">
        <f>IF(C25&lt;&gt;"",VLOOKUP(C25,Preciario!$A$2:$D$66,2,FALSE),"")</f>
        <v>LIC_CAM</v>
      </c>
      <c r="E25" s="73" t="str">
        <f>IF(C25&lt;&gt;"",VLOOKUP(C25,Preciario!$A$2:$D$66,3,FALSE),"")</f>
        <v xml:space="preserve">Licenciamiento de cámara en servidor </v>
      </c>
      <c r="F25" s="24">
        <f>IF(C25&lt;&gt;"",VLOOKUP(C25,Preciario!$A$2:$D$66,4,FALSE),"")</f>
        <v>159.05000000000001</v>
      </c>
      <c r="G25" s="24">
        <f t="shared" si="0"/>
        <v>159.05000000000001</v>
      </c>
      <c r="I25" s="16"/>
      <c r="J25" s="6" t="s">
        <v>3</v>
      </c>
      <c r="K25" s="15"/>
      <c r="L25" s="15"/>
      <c r="M25" s="15"/>
      <c r="N25" s="15"/>
      <c r="O25" s="7">
        <f t="shared" si="1"/>
        <v>0</v>
      </c>
    </row>
    <row r="26" spans="1:21" ht="112.5" x14ac:dyDescent="0.35">
      <c r="A26" s="71">
        <v>1</v>
      </c>
      <c r="B26" s="72" t="s">
        <v>3</v>
      </c>
      <c r="C26" s="73" t="s">
        <v>236</v>
      </c>
      <c r="D26" s="72" t="str">
        <f>IF(C26&lt;&gt;"",VLOOKUP(C26,Preciario!$A$2:$D$66,2,FALSE),"")</f>
        <v>IGS-5225-8P2S2X</v>
      </c>
      <c r="E26" s="73" t="str">
        <f>IF(C26&lt;&gt;"",VLOOKUP(C26,Preciario!$A$2:$D$66,3,FALSE),"")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26" s="24">
        <f>IF(C26&lt;&gt;"",VLOOKUP(C26,Preciario!$A$2:$D$66,4,FALSE),"")</f>
        <v>957.6</v>
      </c>
      <c r="G26" s="24">
        <f t="shared" si="0"/>
        <v>957.6</v>
      </c>
      <c r="I26" s="16"/>
      <c r="J26" s="6" t="s">
        <v>3</v>
      </c>
      <c r="K26" s="15"/>
      <c r="L26" s="15"/>
      <c r="M26" s="15"/>
      <c r="N26" s="15"/>
      <c r="O26" s="7">
        <f t="shared" si="1"/>
        <v>0</v>
      </c>
    </row>
    <row r="27" spans="1:21" ht="14.4" customHeight="1" x14ac:dyDescent="0.35">
      <c r="A27" s="71">
        <v>2</v>
      </c>
      <c r="B27" s="72" t="s">
        <v>3</v>
      </c>
      <c r="C27" s="73" t="s">
        <v>243</v>
      </c>
      <c r="D27" s="72" t="str">
        <f>IF(C27&lt;&gt;"",VLOOKUP(C27,Preciario!$A$2:$D$66,2,FALSE),"")</f>
        <v>MTB-TSR2</v>
      </c>
      <c r="E27" s="73" t="str">
        <f>IF(C27&lt;&gt;"",VLOOKUP(C27,Preciario!$A$2:$D$66,3,FALSE),"")</f>
        <v>Módulo de fibra óptica 10GBASE-LR SFP+ de 1 puerto: 2 km (-40~75 grados C)</v>
      </c>
      <c r="F27" s="24">
        <f>IF(C27&lt;&gt;"",VLOOKUP(C27,Preciario!$A$2:$D$66,4,FALSE),"")</f>
        <v>104</v>
      </c>
      <c r="G27" s="24">
        <f t="shared" si="0"/>
        <v>208</v>
      </c>
      <c r="I27" s="16"/>
      <c r="J27" s="6" t="s">
        <v>3</v>
      </c>
      <c r="K27" s="15"/>
      <c r="L27" s="15"/>
      <c r="M27" s="15"/>
      <c r="N27" s="15"/>
      <c r="O27" s="7">
        <f t="shared" si="1"/>
        <v>0</v>
      </c>
    </row>
    <row r="28" spans="1:21" ht="62.5" x14ac:dyDescent="0.35">
      <c r="A28" s="71">
        <v>10</v>
      </c>
      <c r="B28" s="72" t="s">
        <v>10</v>
      </c>
      <c r="C28" s="73" t="s">
        <v>277</v>
      </c>
      <c r="D28" s="72" t="str">
        <f>IF(C28&lt;&gt;"",VLOOKUP(C28,Preciario!$A$2:$D$66,2,FALSE),"")</f>
        <v>FTP_CAT6A/CAT7</v>
      </c>
      <c r="E28" s="73" t="str">
        <f>IF(C28&lt;&gt;"",VLOOKUP(C28,Preciario!$A$2:$D$66,3,FALSE),"")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28" s="24">
        <f>IF(C28&lt;&gt;"",VLOOKUP(C28,Preciario!$A$2:$D$66,4,FALSE),"")</f>
        <v>4.8</v>
      </c>
      <c r="G28" s="24">
        <f t="shared" si="0"/>
        <v>48</v>
      </c>
      <c r="I28" s="16"/>
      <c r="J28" s="6" t="s">
        <v>10</v>
      </c>
      <c r="K28" s="15"/>
      <c r="L28" s="15"/>
      <c r="M28" s="15"/>
      <c r="N28" s="15"/>
      <c r="O28" s="7">
        <f t="shared" si="1"/>
        <v>0</v>
      </c>
    </row>
    <row r="29" spans="1:21" ht="50" x14ac:dyDescent="0.35">
      <c r="A29" s="71">
        <v>650</v>
      </c>
      <c r="B29" s="72" t="s">
        <v>10</v>
      </c>
      <c r="C29" s="73" t="s">
        <v>278</v>
      </c>
      <c r="D29" s="72" t="str">
        <f>IF(C29&lt;&gt;"",VLOOKUP(C29,Preciario!$A$2:$D$66,2,FALSE),"")</f>
        <v>FO_OS2</v>
      </c>
      <c r="E29" s="73" t="str">
        <f>IF(C29&lt;&gt;"",VLOOKUP(C29,Preciario!$A$2:$D$66,3,FALSE),"")</f>
        <v xml:space="preserve">Suministro e instalación de manguera de fibra óptica de exterior con cubierta de PE protección UV, malla-chapa antiroedor, CPR, 12 FO SM, de tipo OS2 pp. Conexionado fusiones y certificación </v>
      </c>
      <c r="F29" s="24">
        <f>IF(C29&lt;&gt;"",VLOOKUP(C29,Preciario!$A$2:$D$66,4,FALSE),"")</f>
        <v>5.2</v>
      </c>
      <c r="G29" s="24">
        <f t="shared" si="0"/>
        <v>3380</v>
      </c>
      <c r="I29" s="16"/>
      <c r="J29" s="6" t="s">
        <v>10</v>
      </c>
      <c r="K29" s="15"/>
      <c r="L29" s="15"/>
      <c r="M29" s="15"/>
      <c r="N29" s="15"/>
      <c r="O29" s="7">
        <f>+N29*I29</f>
        <v>0</v>
      </c>
    </row>
    <row r="30" spans="1:21" ht="25" x14ac:dyDescent="0.35">
      <c r="A30" s="71">
        <f>'Presupuesto Total'!D32</f>
        <v>1</v>
      </c>
      <c r="B30" s="72" t="s">
        <v>11</v>
      </c>
      <c r="C30" s="73" t="s">
        <v>163</v>
      </c>
      <c r="D30" s="72" t="s">
        <v>164</v>
      </c>
      <c r="E30" s="73" t="str">
        <f>IF(C30&lt;&gt;"",VLOOKUP(C30,Preciario!$A$2:$D$66,3,FALSE),"")</f>
        <v>Partida ayudas auxiliares en equipamiento y mano de obra en sistemas de energía</v>
      </c>
      <c r="F30" s="24">
        <v>279.43</v>
      </c>
      <c r="G30" s="24">
        <f t="shared" si="0"/>
        <v>279.43</v>
      </c>
      <c r="I30" s="16"/>
      <c r="J30" s="6" t="s">
        <v>11</v>
      </c>
      <c r="K30" s="15"/>
      <c r="L30" s="15"/>
      <c r="M30" s="15"/>
      <c r="N30" s="15"/>
      <c r="O30" s="7">
        <f t="shared" ref="O30" si="3">+N30*I30</f>
        <v>0</v>
      </c>
    </row>
    <row r="31" spans="1:21" ht="25" x14ac:dyDescent="0.35">
      <c r="A31" s="71">
        <f>'Presupuesto Total'!D33</f>
        <v>1</v>
      </c>
      <c r="B31" s="72" t="s">
        <v>11</v>
      </c>
      <c r="C31" s="73" t="s">
        <v>185</v>
      </c>
      <c r="D31" s="72" t="s">
        <v>162</v>
      </c>
      <c r="E31" s="73" t="str">
        <f>IF(C31&lt;&gt;"",VLOOKUP(C31,Preciario!$A$2:$D$66,3,FALSE),"")</f>
        <v>Partida ayudas auxiliares en equipamiento y mano de obra en albañilería</v>
      </c>
      <c r="F31" s="24">
        <v>279.53249999999997</v>
      </c>
      <c r="G31" s="24">
        <f t="shared" si="0"/>
        <v>279.53249999999997</v>
      </c>
      <c r="I31" s="16"/>
      <c r="J31" s="6" t="s">
        <v>11</v>
      </c>
      <c r="K31" s="15"/>
      <c r="L31" s="15"/>
      <c r="M31" s="15"/>
      <c r="N31" s="15"/>
      <c r="O31" s="7">
        <f t="shared" si="1"/>
        <v>0</v>
      </c>
    </row>
    <row r="32" spans="1:21" x14ac:dyDescent="0.35">
      <c r="A32" s="8"/>
      <c r="B32" s="8"/>
      <c r="C32" s="9"/>
      <c r="D32" s="9"/>
      <c r="E32" s="9"/>
      <c r="F32" s="19" t="s">
        <v>4</v>
      </c>
      <c r="G32" s="20">
        <f>SUM(G23:G31)</f>
        <v>6149.6125000000002</v>
      </c>
      <c r="I32" s="8"/>
      <c r="J32" s="8"/>
      <c r="K32" s="9"/>
      <c r="L32" s="9"/>
      <c r="M32" s="9"/>
      <c r="N32" s="19" t="s">
        <v>4</v>
      </c>
      <c r="O32" s="20">
        <f>SUM(O23:O31)</f>
        <v>0</v>
      </c>
    </row>
    <row r="33" spans="1:15" x14ac:dyDescent="0.35">
      <c r="A33" s="10"/>
      <c r="B33" s="10"/>
      <c r="C33" s="11"/>
      <c r="D33" s="11"/>
      <c r="E33" s="11"/>
      <c r="F33" s="11"/>
      <c r="G33" s="11"/>
      <c r="H33" s="49"/>
      <c r="I33" s="10"/>
      <c r="J33" s="10"/>
      <c r="K33" s="11"/>
      <c r="L33" s="11"/>
      <c r="M33" s="11"/>
      <c r="N33" s="11"/>
      <c r="O33" s="11"/>
    </row>
    <row r="34" spans="1:15" ht="14.4" customHeight="1" x14ac:dyDescent="0.35">
      <c r="A34" s="198" t="s">
        <v>70</v>
      </c>
      <c r="B34" s="199"/>
      <c r="C34" s="200"/>
      <c r="D34" s="159"/>
      <c r="E34" s="4"/>
      <c r="F34" s="4"/>
      <c r="G34" s="5"/>
      <c r="I34" s="198" t="s">
        <v>70</v>
      </c>
      <c r="J34" s="199"/>
      <c r="K34" s="200"/>
      <c r="L34" s="87"/>
      <c r="M34" s="87"/>
      <c r="N34" s="4"/>
      <c r="O34" s="4"/>
    </row>
    <row r="35" spans="1:15" x14ac:dyDescent="0.35">
      <c r="A35" s="197" t="s">
        <v>0</v>
      </c>
      <c r="B35" s="197"/>
      <c r="C35" s="12" t="s">
        <v>13</v>
      </c>
      <c r="D35" s="12" t="s">
        <v>14</v>
      </c>
      <c r="E35" s="12" t="s">
        <v>256</v>
      </c>
      <c r="F35" s="12" t="s">
        <v>2</v>
      </c>
      <c r="G35" s="13" t="s">
        <v>7</v>
      </c>
      <c r="I35" s="197" t="s">
        <v>0</v>
      </c>
      <c r="J35" s="197"/>
      <c r="K35" s="12" t="s">
        <v>13</v>
      </c>
      <c r="L35" s="12" t="s">
        <v>14</v>
      </c>
      <c r="M35" s="12" t="s">
        <v>256</v>
      </c>
      <c r="N35" s="12" t="s">
        <v>2</v>
      </c>
      <c r="O35" s="13" t="s">
        <v>7</v>
      </c>
    </row>
    <row r="36" spans="1:15" ht="25" x14ac:dyDescent="0.35">
      <c r="A36" s="71">
        <v>19</v>
      </c>
      <c r="B36" s="72" t="s">
        <v>3</v>
      </c>
      <c r="C36" s="73" t="s">
        <v>29</v>
      </c>
      <c r="D36" s="72" t="str">
        <f>IF(C36&lt;&gt;"",VLOOKUP(C36,Preciario!$A$2:$D$66,2,FALSE),"")</f>
        <v>BACULO</v>
      </c>
      <c r="E36" s="73" t="str">
        <f>IF(C36&lt;&gt;"",VLOOKUP(C36,Preciario!$A$2:$D$66,3,FALSE),"")</f>
        <v xml:space="preserve">Báculo de 4 metros de altura para la colocación de una cámara de videovigilancia. Incluye el soporte de suelo. </v>
      </c>
      <c r="F36" s="24">
        <f>IF(C36&lt;&gt;"",VLOOKUP(C36,Preciario!$A$2:$D$66,4,FALSE),"")</f>
        <v>330</v>
      </c>
      <c r="G36" s="24">
        <f t="shared" ref="G36:G58" si="4">A36*F36</f>
        <v>6270</v>
      </c>
      <c r="I36" s="16"/>
      <c r="J36" s="6" t="s">
        <v>3</v>
      </c>
      <c r="K36" s="15"/>
      <c r="L36" s="15"/>
      <c r="M36" s="15"/>
      <c r="N36" s="15"/>
      <c r="O36" s="7">
        <f t="shared" ref="O36:O58" si="5">+N36*I36</f>
        <v>0</v>
      </c>
    </row>
    <row r="37" spans="1:15" ht="125" x14ac:dyDescent="0.35">
      <c r="A37" s="71">
        <v>3</v>
      </c>
      <c r="B37" s="72" t="s">
        <v>3</v>
      </c>
      <c r="C37" s="73" t="s">
        <v>72</v>
      </c>
      <c r="D37" s="72" t="str">
        <f>IF(C37&lt;&gt;"",VLOOKUP(C37,Preciario!$A$2:$D$66,2,FALSE),"")</f>
        <v>P3265LVE</v>
      </c>
      <c r="E37" s="73" t="str">
        <f>IF(C37&lt;&gt;"",VLOOKUP(C37,Preciario!$A$2:$D$66,3,FALSE),"")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37" s="24">
        <f>IF(C37&lt;&gt;"",VLOOKUP(C37,Preciario!$A$2:$D$66,4,FALSE),"")</f>
        <v>749</v>
      </c>
      <c r="G37" s="24">
        <f t="shared" si="4"/>
        <v>2247</v>
      </c>
      <c r="I37" s="16"/>
      <c r="J37" s="6" t="s">
        <v>3</v>
      </c>
      <c r="K37" s="15"/>
      <c r="L37" s="15"/>
      <c r="M37" s="15"/>
      <c r="N37" s="15"/>
      <c r="O37" s="7">
        <f t="shared" si="5"/>
        <v>0</v>
      </c>
    </row>
    <row r="38" spans="1:15" ht="50" x14ac:dyDescent="0.35">
      <c r="A38" s="71">
        <v>19</v>
      </c>
      <c r="B38" s="72" t="s">
        <v>3</v>
      </c>
      <c r="C38" s="73" t="s">
        <v>73</v>
      </c>
      <c r="D38" s="72" t="str">
        <f>IF(C38&lt;&gt;"",VLOOKUP(C38,Preciario!$A$2:$D$66,2,FALSE),"")</f>
        <v>Q1951-E</v>
      </c>
      <c r="E38" s="73" t="str">
        <f>IF(C38&lt;&gt;"",VLOOKUP(C38,Preciario!$A$2:$D$66,3,FALSE),"")</f>
        <v>Suministro y montaje de cámara IP térmica de alta sensibilidad para uso exterior con sensor de 384x288, la imagen puede ampliarse hasta 768x576, soporte y adaptador para montaje en báculo.</v>
      </c>
      <c r="F38" s="24">
        <f>IF(C38&lt;&gt;"",VLOOKUP(C38,Preciario!$A$2:$D$66,4,FALSE),"")</f>
        <v>2999</v>
      </c>
      <c r="G38" s="24">
        <f t="shared" si="4"/>
        <v>56981</v>
      </c>
      <c r="I38" s="16"/>
      <c r="J38" s="6" t="s">
        <v>3</v>
      </c>
      <c r="K38" s="15"/>
      <c r="L38" s="15"/>
      <c r="M38" s="15"/>
      <c r="N38" s="15"/>
      <c r="O38" s="7">
        <f t="shared" si="5"/>
        <v>0</v>
      </c>
    </row>
    <row r="39" spans="1:15" ht="62.5" x14ac:dyDescent="0.35">
      <c r="A39" s="71">
        <v>22</v>
      </c>
      <c r="B39" s="72" t="s">
        <v>3</v>
      </c>
      <c r="C39" s="73" t="s">
        <v>266</v>
      </c>
      <c r="D39" s="72" t="str">
        <f>IF(C39&lt;&gt;"",VLOOKUP(C39,Preciario!$A$2:$D$66,2,FALSE),"")</f>
        <v>T91B47</v>
      </c>
      <c r="E39" s="73" t="str">
        <f>IF(C39&lt;&gt;"",VLOOKUP(C39,Preciario!$A$2:$D$66,3,FALSE),"")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39" s="24">
        <f>IF(C39&lt;&gt;"",VLOOKUP(C39,Preciario!$A$2:$D$66,4,FALSE),"")</f>
        <v>89</v>
      </c>
      <c r="G39" s="24">
        <f t="shared" si="4"/>
        <v>1958</v>
      </c>
      <c r="I39" s="16"/>
      <c r="J39" s="6" t="s">
        <v>3</v>
      </c>
      <c r="K39" s="15"/>
      <c r="L39" s="15"/>
      <c r="M39" s="15"/>
      <c r="N39" s="15"/>
      <c r="O39" s="7">
        <f t="shared" ref="O39" si="6">+N39*I39</f>
        <v>0</v>
      </c>
    </row>
    <row r="40" spans="1:15" x14ac:dyDescent="0.35">
      <c r="A40" s="71">
        <v>22</v>
      </c>
      <c r="B40" s="72" t="s">
        <v>3</v>
      </c>
      <c r="C40" s="73" t="s">
        <v>31</v>
      </c>
      <c r="D40" s="72" t="str">
        <f>IF(C40&lt;&gt;"",VLOOKUP(C40,Preciario!$A$2:$D$66,2,FALSE),"")</f>
        <v>LIC_CAM</v>
      </c>
      <c r="E40" s="73" t="str">
        <f>IF(C40&lt;&gt;"",VLOOKUP(C40,Preciario!$A$2:$D$66,3,FALSE),"")</f>
        <v xml:space="preserve">Licenciamiento de cámara en servidor </v>
      </c>
      <c r="F40" s="24">
        <f>IF(C40&lt;&gt;"",VLOOKUP(C40,Preciario!$A$2:$D$66,4,FALSE),"")</f>
        <v>159.05000000000001</v>
      </c>
      <c r="G40" s="24">
        <f t="shared" si="4"/>
        <v>3499.1000000000004</v>
      </c>
      <c r="I40" s="16"/>
      <c r="J40" s="6" t="s">
        <v>3</v>
      </c>
      <c r="K40" s="15"/>
      <c r="L40" s="15"/>
      <c r="M40" s="15"/>
      <c r="N40" s="15"/>
      <c r="O40" s="7">
        <f t="shared" si="5"/>
        <v>0</v>
      </c>
    </row>
    <row r="41" spans="1:15" ht="87.5" x14ac:dyDescent="0.35">
      <c r="A41" s="71">
        <v>19</v>
      </c>
      <c r="B41" s="72" t="s">
        <v>3</v>
      </c>
      <c r="C41" s="73" t="s">
        <v>190</v>
      </c>
      <c r="D41" s="72" t="str">
        <f>IF(C41&lt;&gt;"",VLOOKUP(C41,Preciario!$A$2:$D$66,2,FALSE),"")</f>
        <v>DE.3001</v>
      </c>
      <c r="E41" s="73" t="str">
        <f>IF(C41&lt;&gt;"",VLOOKUP(C41,Preciario!$A$2:$D$66,3,FALSE),"")</f>
        <v xml:space="preserve">Activación de la integración de los metadatos generados por la función AXIS Perimiter Defender en la plataforma G-Core de Geutebruck. Permite mostrar la información de la detección de análisis de video en los visores G-View o G-SIM. Los datos integrables en el evento son: Canal / Tipo de Alarma / Número de Zona / ID de seguimiento / Area de alarma. Incluida instalación y configuración. </v>
      </c>
      <c r="F41" s="24">
        <f>IF(C41&lt;&gt;"",VLOOKUP(C41,Preciario!$A$2:$D$66,4,FALSE),"")</f>
        <v>392</v>
      </c>
      <c r="G41" s="24">
        <f t="shared" si="4"/>
        <v>7448</v>
      </c>
      <c r="I41" s="16"/>
      <c r="J41" s="6" t="s">
        <v>3</v>
      </c>
      <c r="K41" s="15"/>
      <c r="L41" s="15"/>
      <c r="M41" s="15"/>
      <c r="N41" s="15"/>
      <c r="O41" s="7">
        <f t="shared" si="5"/>
        <v>0</v>
      </c>
    </row>
    <row r="42" spans="1:15" ht="50" x14ac:dyDescent="0.35">
      <c r="A42" s="71">
        <v>19</v>
      </c>
      <c r="B42" s="72" t="s">
        <v>3</v>
      </c>
      <c r="C42" s="73" t="s">
        <v>189</v>
      </c>
      <c r="D42" s="72" t="str">
        <f>IF(C42&lt;&gt;"",VLOOKUP(C42,Preciario!$A$2:$D$66,2,FALSE),"")</f>
        <v>ACAP PER_DEF</v>
      </c>
      <c r="E42" s="73" t="str">
        <f>IF(C42&lt;&gt;"",VLOOKUP(C42,Preciario!$A$2:$D$66,3,FALSE),"")</f>
        <v xml:space="preserve">Licencia de unidad única para AXIS Perimeter Defender, una aplicación de análisis de video escalable y flexible para vigilancia y protección perimetral. Incluida instalación y configuración. </v>
      </c>
      <c r="F42" s="24">
        <f>IF(C42&lt;&gt;"",VLOOKUP(C42,Preciario!$A$2:$D$66,4,FALSE),"")</f>
        <v>299</v>
      </c>
      <c r="G42" s="24">
        <f t="shared" si="4"/>
        <v>5681</v>
      </c>
      <c r="I42" s="16"/>
      <c r="J42" s="6" t="s">
        <v>3</v>
      </c>
      <c r="K42" s="15"/>
      <c r="L42" s="15"/>
      <c r="M42" s="15"/>
      <c r="N42" s="15"/>
      <c r="O42" s="7">
        <f t="shared" si="5"/>
        <v>0</v>
      </c>
    </row>
    <row r="43" spans="1:15" ht="112.5" x14ac:dyDescent="0.35">
      <c r="A43" s="71">
        <v>5</v>
      </c>
      <c r="B43" s="72" t="s">
        <v>3</v>
      </c>
      <c r="C43" s="73" t="s">
        <v>236</v>
      </c>
      <c r="D43" s="72" t="str">
        <f>IF(C43&lt;&gt;"",VLOOKUP(C43,Preciario!$A$2:$D$66,2,FALSE),"")</f>
        <v>IGS-5225-8P2S2X</v>
      </c>
      <c r="E43" s="73" t="str">
        <f>IF(C43&lt;&gt;"",VLOOKUP(C43,Preciario!$A$2:$D$66,3,FALSE),"")</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F43" s="24">
        <f>IF(C43&lt;&gt;"",VLOOKUP(C43,Preciario!$A$2:$D$66,4,FALSE),"")</f>
        <v>957.6</v>
      </c>
      <c r="G43" s="24">
        <f t="shared" si="4"/>
        <v>4788</v>
      </c>
      <c r="I43" s="16"/>
      <c r="J43" s="6" t="s">
        <v>3</v>
      </c>
      <c r="K43" s="15"/>
      <c r="L43" s="15"/>
      <c r="M43" s="15"/>
      <c r="N43" s="15"/>
      <c r="O43" s="7">
        <f t="shared" si="5"/>
        <v>0</v>
      </c>
    </row>
    <row r="44" spans="1:15" ht="37.5" x14ac:dyDescent="0.35">
      <c r="A44" s="71">
        <v>3</v>
      </c>
      <c r="B44" s="72" t="s">
        <v>3</v>
      </c>
      <c r="C44" s="73" t="s">
        <v>175</v>
      </c>
      <c r="D44" s="72" t="str">
        <f>IF(C44&lt;&gt;"",VLOOKUP(C44,Preciario!$A$2:$D$66,2,FALSE),"")</f>
        <v>AX_T8154</v>
      </c>
      <c r="E44" s="73" t="str">
        <f>IF(C44&lt;&gt;"",VLOOKUP(C44,Preciario!$A$2:$D$66,3,FALSE),"")</f>
        <v>Midspan SFP AXIS T8154 convertidor de medios, Plug and Play y con PoE. Fuente de alimentación integrada. Entrada de datos a través de SFP o RJ45. High PoE de 60 W.</v>
      </c>
      <c r="F44" s="24">
        <f>IF(C44&lt;&gt;"",VLOOKUP(C44,Preciario!$A$2:$D$66,4,FALSE),"")</f>
        <v>209</v>
      </c>
      <c r="G44" s="24">
        <f t="shared" si="4"/>
        <v>627</v>
      </c>
      <c r="I44" s="16"/>
      <c r="J44" s="6" t="s">
        <v>3</v>
      </c>
      <c r="K44" s="15"/>
      <c r="L44" s="15"/>
      <c r="M44" s="15"/>
      <c r="N44" s="15"/>
      <c r="O44" s="7">
        <f t="shared" si="5"/>
        <v>0</v>
      </c>
    </row>
    <row r="45" spans="1:15" ht="14.4" customHeight="1" x14ac:dyDescent="0.35">
      <c r="A45" s="71">
        <v>16</v>
      </c>
      <c r="B45" s="72" t="s">
        <v>3</v>
      </c>
      <c r="C45" s="73" t="s">
        <v>243</v>
      </c>
      <c r="D45" s="72" t="str">
        <f>IF(C45&lt;&gt;"",VLOOKUP(C45,Preciario!$A$2:$D$66,2,FALSE),"")</f>
        <v>MTB-TSR2</v>
      </c>
      <c r="E45" s="73" t="str">
        <f>IF(C45&lt;&gt;"",VLOOKUP(C45,Preciario!$A$2:$D$66,3,FALSE),"")</f>
        <v>Módulo de fibra óptica 10GBASE-LR SFP+ de 1 puerto: 2 km (-40~75 grados C)</v>
      </c>
      <c r="F45" s="24">
        <f>IF(C45&lt;&gt;"",VLOOKUP(C45,Preciario!$A$2:$D$66,4,FALSE),"")</f>
        <v>104</v>
      </c>
      <c r="G45" s="24">
        <f t="shared" si="4"/>
        <v>1664</v>
      </c>
      <c r="I45" s="16"/>
      <c r="J45" s="6" t="s">
        <v>3</v>
      </c>
      <c r="K45" s="15"/>
      <c r="L45" s="15"/>
      <c r="M45" s="15"/>
      <c r="N45" s="15"/>
      <c r="O45" s="7">
        <f t="shared" si="5"/>
        <v>0</v>
      </c>
    </row>
    <row r="46" spans="1:15" ht="150" x14ac:dyDescent="0.35">
      <c r="A46" s="71">
        <v>6</v>
      </c>
      <c r="B46" s="72" t="s">
        <v>3</v>
      </c>
      <c r="C46" s="73" t="s">
        <v>42</v>
      </c>
      <c r="D46" s="72" t="str">
        <f>IF(C46&lt;&gt;"",VLOOKUP(C46,Preciario!$A$2:$D$66,2,FALSE),"")</f>
        <v>AM60x40</v>
      </c>
      <c r="E46" s="73" t="str">
        <f>IF(C46&lt;&gt;"",VLOOKUP(C46,Preciario!$A$2:$D$66,3,FALSE),"")</f>
        <v>Armario mural de fibra exterior 600x400x210 mm (AlxAnxP) con protección IP66, IK09. Para soportación en poste, pared o suelo, incluye soportación, placa de montaje, carril din y protecciones electricas (diferencial, magnetotérmico switch, magnetotérmico ventilador, magnetotérmico reserva, magnetotérmico enchufe y enchufe schuko), termostato, FA para termostato, ventilación forzada, cierre por candado unificado. Incluyendo el Suministro y montaje de bandeja organizadora de empalmes y/o terminación de F.O. con capacidad para terminar en conectores hasta 8 fibras (bandeja de conectorización) o capacidad para empalmar de paso hasta 16 fibras.</v>
      </c>
      <c r="F46" s="24">
        <f>IF(C46&lt;&gt;"",VLOOKUP(C46,Preciario!$A$2:$D$66,4,FALSE),"")</f>
        <v>862.465236111114</v>
      </c>
      <c r="G46" s="24">
        <f t="shared" si="4"/>
        <v>5174.7914166666842</v>
      </c>
      <c r="I46" s="16"/>
      <c r="J46" s="6" t="s">
        <v>3</v>
      </c>
      <c r="K46" s="15"/>
      <c r="L46" s="15"/>
      <c r="M46" s="15"/>
      <c r="N46" s="15"/>
      <c r="O46" s="7">
        <f t="shared" si="5"/>
        <v>0</v>
      </c>
    </row>
    <row r="47" spans="1:15" ht="25" x14ac:dyDescent="0.35">
      <c r="A47" s="71">
        <v>100</v>
      </c>
      <c r="B47" s="72" t="s">
        <v>10</v>
      </c>
      <c r="C47" s="73" t="s">
        <v>273</v>
      </c>
      <c r="D47" s="72" t="str">
        <f>IF(C47&lt;&gt;"",VLOOKUP(C47,Preciario!$A$2:$D$66,2,FALSE),"")</f>
        <v>TUBAC32</v>
      </c>
      <c r="E47" s="73" t="str">
        <f>IF(C47&lt;&gt;"",VLOOKUP(C47,Preciario!$A$2:$D$66,3,FALSE),"")</f>
        <v>Suministro e instalación de tubo acero M32, p.p mano de obra y accesorios</v>
      </c>
      <c r="F47" s="24">
        <f>IF(C47&lt;&gt;"",VLOOKUP(C47,Preciario!$A$2:$D$66,4,FALSE),"")</f>
        <v>24.78</v>
      </c>
      <c r="G47" s="24">
        <f t="shared" si="4"/>
        <v>2478</v>
      </c>
      <c r="I47" s="16"/>
      <c r="J47" s="6" t="s">
        <v>10</v>
      </c>
      <c r="K47" s="15"/>
      <c r="L47" s="15"/>
      <c r="M47" s="15"/>
      <c r="N47" s="15"/>
      <c r="O47" s="7">
        <f t="shared" si="5"/>
        <v>0</v>
      </c>
    </row>
    <row r="48" spans="1:15" ht="25" x14ac:dyDescent="0.35">
      <c r="A48" s="71">
        <v>760</v>
      </c>
      <c r="B48" s="72" t="s">
        <v>10</v>
      </c>
      <c r="C48" s="73" t="s">
        <v>275</v>
      </c>
      <c r="D48" s="72" t="str">
        <f>IF(C48&lt;&gt;"",VLOOKUP(C48,Preciario!$A$2:$D$66,2,FALSE),"")</f>
        <v>C_ELE_3X2,5</v>
      </c>
      <c r="E48" s="73" t="str">
        <f>IF(C48&lt;&gt;"",VLOOKUP(C48,Preciario!$A$2:$D$66,3,FALSE),"")</f>
        <v>Suministro e instalación de manguera exterior RZ1-K 3x2,5mm</v>
      </c>
      <c r="F48" s="24">
        <f>IF(C48&lt;&gt;"",VLOOKUP(C48,Preciario!$A$2:$D$66,4,FALSE),"")</f>
        <v>4</v>
      </c>
      <c r="G48" s="24">
        <f t="shared" si="4"/>
        <v>3040</v>
      </c>
      <c r="I48" s="16"/>
      <c r="J48" s="6" t="s">
        <v>10</v>
      </c>
      <c r="K48" s="15"/>
      <c r="L48" s="15"/>
      <c r="M48" s="15"/>
      <c r="N48" s="15"/>
      <c r="O48" s="7">
        <f t="shared" si="5"/>
        <v>0</v>
      </c>
    </row>
    <row r="49" spans="1:15" ht="62.5" x14ac:dyDescent="0.35">
      <c r="A49" s="71">
        <v>670</v>
      </c>
      <c r="B49" s="72" t="s">
        <v>10</v>
      </c>
      <c r="C49" s="73" t="s">
        <v>277</v>
      </c>
      <c r="D49" s="72" t="str">
        <f>IF(C49&lt;&gt;"",VLOOKUP(C49,Preciario!$A$2:$D$66,2,FALSE),"")</f>
        <v>FTP_CAT6A/CAT7</v>
      </c>
      <c r="E49" s="73" t="str">
        <f>IF(C49&lt;&gt;"",VLOOKUP(C49,Preciario!$A$2:$D$66,3,FALSE),"")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49" s="24">
        <f>IF(C49&lt;&gt;"",VLOOKUP(C49,Preciario!$A$2:$D$66,4,FALSE),"")</f>
        <v>4.8</v>
      </c>
      <c r="G49" s="24">
        <f t="shared" si="4"/>
        <v>3216</v>
      </c>
      <c r="I49" s="16"/>
      <c r="J49" s="6" t="s">
        <v>10</v>
      </c>
      <c r="K49" s="15"/>
      <c r="L49" s="15"/>
      <c r="M49" s="15"/>
      <c r="N49" s="15"/>
      <c r="O49" s="7">
        <f t="shared" si="5"/>
        <v>0</v>
      </c>
    </row>
    <row r="50" spans="1:15" ht="50" x14ac:dyDescent="0.35">
      <c r="A50" s="71">
        <v>1010</v>
      </c>
      <c r="B50" s="72" t="s">
        <v>10</v>
      </c>
      <c r="C50" s="73" t="s">
        <v>278</v>
      </c>
      <c r="D50" s="72" t="str">
        <f>IF(C50&lt;&gt;"",VLOOKUP(C50,Preciario!$A$2:$D$66,2,FALSE),"")</f>
        <v>FO_OS2</v>
      </c>
      <c r="E50" s="73" t="str">
        <f>IF(C50&lt;&gt;"",VLOOKUP(C50,Preciario!$A$2:$D$66,3,FALSE),"")</f>
        <v xml:space="preserve">Suministro e instalación de manguera de fibra óptica de exterior con cubierta de PE protección UV, malla-chapa antiroedor, CPR, 12 FO SM, de tipo OS2 pp. Conexionado fusiones y certificación </v>
      </c>
      <c r="F50" s="24">
        <f>IF(C50&lt;&gt;"",VLOOKUP(C50,Preciario!$A$2:$D$66,4,FALSE),"")</f>
        <v>5.2</v>
      </c>
      <c r="G50" s="24">
        <f t="shared" si="4"/>
        <v>5252</v>
      </c>
      <c r="I50" s="16"/>
      <c r="J50" s="6" t="s">
        <v>10</v>
      </c>
      <c r="K50" s="15"/>
      <c r="L50" s="15"/>
      <c r="M50" s="15"/>
      <c r="N50" s="15"/>
      <c r="O50" s="7">
        <f t="shared" si="5"/>
        <v>0</v>
      </c>
    </row>
    <row r="51" spans="1:15" ht="75" x14ac:dyDescent="0.35">
      <c r="A51" s="71">
        <v>19</v>
      </c>
      <c r="B51" s="72" t="s">
        <v>3</v>
      </c>
      <c r="C51" s="73" t="s">
        <v>234</v>
      </c>
      <c r="D51" s="72" t="str">
        <f>IF(C51&lt;&gt;"",VLOOKUP(C51,Preciario!$A$2:$D$66,2,FALSE),"")</f>
        <v>ZPT606060</v>
      </c>
      <c r="E51" s="73" t="str">
        <f>IF(C51&lt;&gt;"",VLOOKUP(C51,Preciario!$A$2:$D$66,3,FALSE),"")</f>
        <v>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v>
      </c>
      <c r="F51" s="24">
        <f>IF(C51&lt;&gt;"",VLOOKUP(C51,Preciario!$A$2:$D$66,4,FALSE),"")</f>
        <v>226.5</v>
      </c>
      <c r="G51" s="24">
        <f t="shared" si="4"/>
        <v>4303.5</v>
      </c>
      <c r="I51" s="16"/>
      <c r="J51" s="6" t="s">
        <v>3</v>
      </c>
      <c r="K51" s="15"/>
      <c r="L51" s="15"/>
      <c r="M51" s="15"/>
      <c r="N51" s="15"/>
      <c r="O51" s="7">
        <f t="shared" si="5"/>
        <v>0</v>
      </c>
    </row>
    <row r="52" spans="1:15" ht="75" x14ac:dyDescent="0.35">
      <c r="A52" s="71">
        <v>15</v>
      </c>
      <c r="B52" s="72" t="s">
        <v>10</v>
      </c>
      <c r="C52" s="73" t="s">
        <v>228</v>
      </c>
      <c r="D52" s="72" t="str">
        <f>IF(C52&lt;&gt;"",VLOOKUP(C52,Preciario!$A$2:$D$66,2,FALSE),"")</f>
        <v>Zanja</v>
      </c>
      <c r="E52" s="73" t="str">
        <f>IF(C52&lt;&gt;"",VLOOKUP(C52,Preciario!$A$2:$D$66,3,FALSE),"")</f>
        <v>Construcción de zanja, incluyendo la excavación, la carga y el transporte de las tierras a vertedero autorizado, el suministro y colocación de 4 tubos de PVC corrugado, para instalaciones, relleno de la misma con material recuperado, y acabado superficial con hormigón en masa o asfalto; i/ p.p.medios auxiliares.</v>
      </c>
      <c r="F52" s="24">
        <f>IF(C52&lt;&gt;"",VLOOKUP(C52,Preciario!$A$2:$D$66,4,FALSE),"")</f>
        <v>78.930000000000007</v>
      </c>
      <c r="G52" s="24">
        <f t="shared" si="4"/>
        <v>1183.95</v>
      </c>
      <c r="I52" s="16"/>
      <c r="J52" s="6" t="s">
        <v>10</v>
      </c>
      <c r="K52" s="15"/>
      <c r="L52" s="15"/>
      <c r="M52" s="15"/>
      <c r="N52" s="15"/>
      <c r="O52" s="7">
        <f t="shared" si="5"/>
        <v>0</v>
      </c>
    </row>
    <row r="53" spans="1:15" ht="37.5" x14ac:dyDescent="0.35">
      <c r="A53" s="71">
        <v>2</v>
      </c>
      <c r="B53" s="72" t="s">
        <v>3</v>
      </c>
      <c r="C53" s="73" t="s">
        <v>233</v>
      </c>
      <c r="D53" s="72" t="str">
        <f>IF(C53&lt;&gt;"",VLOOKUP(C53,Preciario!$A$2:$D$66,2,FALSE),"")</f>
        <v>Arqueta</v>
      </c>
      <c r="E53" s="73" t="str">
        <f>IF(C53&lt;&gt;"",VLOOKUP(C53,Preciario!$A$2:$D$66,3,FALSE),"")</f>
        <v>Arqueta de registro construida a base de ladrillo macizo de 1/2 pie de espesor, enfoscada y bruñida interiormente, con tapa metálica con cerco y tirador.</v>
      </c>
      <c r="F53" s="24">
        <f>IF(C53&lt;&gt;"",VLOOKUP(C53,Preciario!$A$2:$D$66,4,FALSE),"")</f>
        <v>325.8</v>
      </c>
      <c r="G53" s="24">
        <f t="shared" si="4"/>
        <v>651.6</v>
      </c>
      <c r="I53" s="16"/>
      <c r="J53" s="6" t="s">
        <v>3</v>
      </c>
      <c r="K53" s="15"/>
      <c r="L53" s="15"/>
      <c r="M53" s="15"/>
      <c r="N53" s="15"/>
      <c r="O53" s="7">
        <f t="shared" si="5"/>
        <v>0</v>
      </c>
    </row>
    <row r="54" spans="1:15" ht="37.5" x14ac:dyDescent="0.35">
      <c r="A54" s="71">
        <v>3</v>
      </c>
      <c r="B54" s="72" t="s">
        <v>3</v>
      </c>
      <c r="C54" s="73" t="s">
        <v>286</v>
      </c>
      <c r="D54" s="72" t="str">
        <f>IF(C54&lt;&gt;"",VLOOKUP(C54,Preciario!$A$2:$D$66,2,FALSE),"")</f>
        <v>Río</v>
      </c>
      <c r="E54" s="73" t="str">
        <f>IF(C54&lt;&gt;"",VLOOKUP(C54,Preciario!$A$2:$D$66,3,FALSE),"")</f>
        <v>Módulo expansor de zonas, para ampliación de la capacidad de entradas de la central de intrusión ofertada. Incluida fuente de alimentación y batería</v>
      </c>
      <c r="F54" s="24">
        <f>IF(C54&lt;&gt;"",VLOOKUP(C54,Preciario!$A$2:$D$66,4,FALSE),"")</f>
        <v>350</v>
      </c>
      <c r="G54" s="24">
        <f t="shared" si="4"/>
        <v>1050</v>
      </c>
      <c r="H54" s="49"/>
      <c r="I54" s="16"/>
      <c r="J54" s="6" t="s">
        <v>3</v>
      </c>
      <c r="K54" s="15"/>
      <c r="L54" s="15"/>
      <c r="M54" s="15"/>
      <c r="N54" s="15"/>
      <c r="O54" s="7">
        <f t="shared" si="5"/>
        <v>0</v>
      </c>
    </row>
    <row r="55" spans="1:15" ht="112.4" customHeight="1" x14ac:dyDescent="0.35">
      <c r="A55" s="71">
        <v>4</v>
      </c>
      <c r="B55" s="72" t="s">
        <v>3</v>
      </c>
      <c r="C55" s="73" t="s">
        <v>289</v>
      </c>
      <c r="D55" s="72" t="str">
        <f>IF(C55&lt;&gt;"",VLOOKUP(C55,Preciario!$A$2:$D$66,2,FALSE),"")</f>
        <v>MOXA Iologik E1214</v>
      </c>
      <c r="E55" s="73" t="str">
        <f>IF(C55&lt;&gt;"",VLOOKUP(C55,Preciario!$A$2:$D$66,3,FALSE),"")</f>
        <v>Módulo de E/S digitales Ethernet. Seis puertos de entrada digital y 6 puertos de salida digital mediante Relé. Entradas digitales: 6 canales. Relés: 6 canales. Aislamiento: 3k VDC o 2k Vrms. Tipo de sensor: contacto húmedo (NPN o PNP), contacto seco. Modo I/O: DI o contador de eventos. Contacto seco: Encendido: corto a GND. Apagado: abierto. Contacto húmedo (DI a COM): Encendido: 10 a 30 VCC. Apagado: 0 a 3 VCC. Según características descritas en PPT.</v>
      </c>
      <c r="F55" s="24">
        <f>IF(C55&lt;&gt;"",VLOOKUP(C55,Preciario!$A$2:$D$66,4,FALSE),"")</f>
        <v>300</v>
      </c>
      <c r="G55" s="24">
        <f t="shared" si="4"/>
        <v>1200</v>
      </c>
      <c r="H55" s="49"/>
      <c r="I55" s="16"/>
      <c r="J55" s="6" t="s">
        <v>3</v>
      </c>
      <c r="K55" s="15"/>
      <c r="L55" s="15"/>
      <c r="M55" s="15"/>
      <c r="N55" s="15"/>
      <c r="O55" s="7">
        <f t="shared" si="5"/>
        <v>0</v>
      </c>
    </row>
    <row r="56" spans="1:15" ht="25" x14ac:dyDescent="0.35">
      <c r="A56" s="71">
        <v>1</v>
      </c>
      <c r="B56" s="72" t="s">
        <v>11</v>
      </c>
      <c r="C56" s="73" t="s">
        <v>307</v>
      </c>
      <c r="D56" s="72" t="s">
        <v>164</v>
      </c>
      <c r="E56" s="73" t="str">
        <f>IF(C56&lt;&gt;"",VLOOKUP(C56,Preciario!$A$2:$D$66,3,FALSE),"")</f>
        <v>Partida de mano de obra para configuración módulos IO en abonado CRA</v>
      </c>
      <c r="F56" s="24">
        <v>700</v>
      </c>
      <c r="G56" s="24">
        <f t="shared" si="4"/>
        <v>700</v>
      </c>
      <c r="I56" s="16"/>
      <c r="J56" s="6" t="s">
        <v>11</v>
      </c>
      <c r="K56" s="15"/>
      <c r="L56" s="15"/>
      <c r="M56" s="15"/>
      <c r="N56" s="15"/>
      <c r="O56" s="7">
        <f t="shared" si="5"/>
        <v>0</v>
      </c>
    </row>
    <row r="57" spans="1:15" ht="25" x14ac:dyDescent="0.35">
      <c r="A57" s="71">
        <f>'Presupuesto Total'!D32</f>
        <v>1</v>
      </c>
      <c r="B57" s="72" t="s">
        <v>11</v>
      </c>
      <c r="C57" s="73" t="s">
        <v>163</v>
      </c>
      <c r="D57" s="72" t="s">
        <v>164</v>
      </c>
      <c r="E57" s="73" t="str">
        <f>IF(C57&lt;&gt;"",VLOOKUP(C57,Preciario!$A$2:$D$66,3,FALSE),"")</f>
        <v>Partida ayudas auxiliares en equipamiento y mano de obra en sistemas de energía</v>
      </c>
      <c r="F57" s="24">
        <v>5522.11</v>
      </c>
      <c r="G57" s="24">
        <f t="shared" si="4"/>
        <v>5522.11</v>
      </c>
      <c r="I57" s="16"/>
      <c r="J57" s="6" t="s">
        <v>11</v>
      </c>
      <c r="K57" s="15"/>
      <c r="L57" s="15"/>
      <c r="M57" s="15"/>
      <c r="N57" s="15"/>
      <c r="O57" s="7">
        <f t="shared" si="5"/>
        <v>0</v>
      </c>
    </row>
    <row r="58" spans="1:15" ht="25" x14ac:dyDescent="0.35">
      <c r="A58" s="71">
        <f>'Presupuesto Total'!D33</f>
        <v>1</v>
      </c>
      <c r="B58" s="72" t="s">
        <v>11</v>
      </c>
      <c r="C58" s="73" t="s">
        <v>185</v>
      </c>
      <c r="D58" s="72" t="s">
        <v>162</v>
      </c>
      <c r="E58" s="73" t="str">
        <f>IF(C58&lt;&gt;"",VLOOKUP(C58,Preciario!$A$2:$D$66,3,FALSE),"")</f>
        <v>Partida ayudas auxiliares en equipamiento y mano de obra en albañilería</v>
      </c>
      <c r="F58" s="24">
        <v>5452.8825000000006</v>
      </c>
      <c r="G58" s="24">
        <f t="shared" si="4"/>
        <v>5452.8825000000006</v>
      </c>
      <c r="I58" s="16"/>
      <c r="J58" s="6" t="s">
        <v>11</v>
      </c>
      <c r="K58" s="15"/>
      <c r="L58" s="15"/>
      <c r="M58" s="15"/>
      <c r="N58" s="15"/>
      <c r="O58" s="7">
        <f t="shared" si="5"/>
        <v>0</v>
      </c>
    </row>
    <row r="59" spans="1:15" x14ac:dyDescent="0.35">
      <c r="A59" s="44"/>
      <c r="B59" s="8"/>
      <c r="C59" s="9"/>
      <c r="D59" s="9"/>
      <c r="E59" s="9"/>
      <c r="F59" s="19" t="s">
        <v>4</v>
      </c>
      <c r="G59" s="20">
        <f>SUM(G36:G58)</f>
        <v>130387.93391666671</v>
      </c>
      <c r="I59" s="8"/>
      <c r="J59" s="8"/>
      <c r="K59" s="9"/>
      <c r="L59" s="9"/>
      <c r="M59" s="9"/>
      <c r="N59" s="19" t="s">
        <v>4</v>
      </c>
      <c r="O59" s="20">
        <f>SUM(O36:O58)</f>
        <v>0</v>
      </c>
    </row>
    <row r="60" spans="1:15" x14ac:dyDescent="0.35">
      <c r="A60" s="10"/>
      <c r="B60" s="10"/>
      <c r="C60" s="11"/>
      <c r="D60" s="11"/>
      <c r="E60" s="11"/>
      <c r="F60" s="11"/>
      <c r="G60" s="11"/>
      <c r="H60" s="49"/>
      <c r="I60" s="10"/>
      <c r="J60" s="10"/>
      <c r="K60" s="11"/>
      <c r="L60" s="11"/>
      <c r="M60" s="11"/>
      <c r="N60" s="11"/>
      <c r="O60" s="11"/>
    </row>
    <row r="61" spans="1:15" ht="14.4" customHeight="1" x14ac:dyDescent="0.35">
      <c r="A61" s="198" t="s">
        <v>118</v>
      </c>
      <c r="B61" s="199"/>
      <c r="C61" s="200"/>
      <c r="D61" s="4"/>
      <c r="E61" s="4"/>
      <c r="F61" s="4"/>
      <c r="G61" s="5"/>
      <c r="I61" s="198" t="s">
        <v>118</v>
      </c>
      <c r="J61" s="199"/>
      <c r="K61" s="200"/>
      <c r="L61" s="87"/>
      <c r="M61" s="87"/>
      <c r="N61" s="4"/>
      <c r="O61" s="4"/>
    </row>
    <row r="62" spans="1:15" x14ac:dyDescent="0.35">
      <c r="A62" s="197" t="s">
        <v>0</v>
      </c>
      <c r="B62" s="197"/>
      <c r="C62" s="12" t="s">
        <v>13</v>
      </c>
      <c r="D62" s="12" t="s">
        <v>14</v>
      </c>
      <c r="E62" s="12" t="s">
        <v>256</v>
      </c>
      <c r="F62" s="12" t="s">
        <v>2</v>
      </c>
      <c r="G62" s="13" t="s">
        <v>7</v>
      </c>
      <c r="I62" s="197" t="s">
        <v>0</v>
      </c>
      <c r="J62" s="197"/>
      <c r="K62" s="12" t="s">
        <v>13</v>
      </c>
      <c r="L62" s="12" t="s">
        <v>14</v>
      </c>
      <c r="M62" s="12" t="s">
        <v>256</v>
      </c>
      <c r="N62" s="12" t="s">
        <v>2</v>
      </c>
      <c r="O62" s="13" t="s">
        <v>7</v>
      </c>
    </row>
    <row r="63" spans="1:15" ht="25" x14ac:dyDescent="0.35">
      <c r="A63" s="71">
        <v>1</v>
      </c>
      <c r="B63" s="72" t="s">
        <v>3</v>
      </c>
      <c r="C63" s="73" t="s">
        <v>29</v>
      </c>
      <c r="D63" s="72" t="str">
        <f>IF(C63&lt;&gt;"",VLOOKUP(C63,Preciario!$A$2:$D$66,2,FALSE),"")</f>
        <v>BACULO</v>
      </c>
      <c r="E63" s="73" t="str">
        <f>IF(C63&lt;&gt;"",VLOOKUP(C63,Preciario!$A$2:$D$66,3,FALSE),"")</f>
        <v xml:space="preserve">Báculo de 4 metros de altura para la colocación de una cámara de videovigilancia. Incluye el soporte de suelo. </v>
      </c>
      <c r="F63" s="24">
        <f>IF(C63&lt;&gt;"",VLOOKUP(C63,Preciario!$A$2:$D$66,4,FALSE),"")</f>
        <v>330</v>
      </c>
      <c r="G63" s="24">
        <f t="shared" ref="G63:G71" si="7">A63*F63</f>
        <v>330</v>
      </c>
      <c r="I63" s="16"/>
      <c r="J63" s="6" t="s">
        <v>3</v>
      </c>
      <c r="K63" s="15"/>
      <c r="L63" s="15"/>
      <c r="M63" s="15"/>
      <c r="N63" s="15"/>
      <c r="O63" s="7">
        <f t="shared" ref="O63:O71" si="8">+N63*I63</f>
        <v>0</v>
      </c>
    </row>
    <row r="64" spans="1:15" ht="125" x14ac:dyDescent="0.35">
      <c r="A64" s="71">
        <v>3</v>
      </c>
      <c r="B64" s="72" t="s">
        <v>3</v>
      </c>
      <c r="C64" s="73" t="s">
        <v>72</v>
      </c>
      <c r="D64" s="72" t="str">
        <f>IF(C64&lt;&gt;"",VLOOKUP(C64,Preciario!$A$2:$D$66,2,FALSE),"")</f>
        <v>P3265LVE</v>
      </c>
      <c r="E64" s="73" t="str">
        <f>IF(C64&lt;&gt;"",VLOOKUP(C64,Preciario!$A$2:$D$66,3,FALSE),"")</f>
        <v>Cámara IP tipo minidomo. Resolución mínima de 2 Megapíxel de alta definición compacta día y noche. Foco de IR integrado en cámara. con LED de infrarrojos de 850 nm. Rango de alcance de 40 m.Carcasa IP66 y NEMA 4X, con grado de protección IK10 en policarbonato y parasol. Varifocal, 3,4–8,9 mm, F1.8. lente P-iris. Campo horizontal de la vista: 100°-36°, Campo de visión vertical: 53°-20°. Corrección por infrarrojos, zoom y enfoque remotos, control de P-Iris. Iluminación mínima Con Forensic WDR y Lightfinder 2.0: Color: 0,1 lux a 50 IRE, F1.8 B/N: 0 lux a 50 IRE, F1.8</v>
      </c>
      <c r="F64" s="24">
        <f>IF(C64&lt;&gt;"",VLOOKUP(C64,Preciario!$A$2:$D$66,4,FALSE),"")</f>
        <v>749</v>
      </c>
      <c r="G64" s="24">
        <f t="shared" si="7"/>
        <v>2247</v>
      </c>
      <c r="I64" s="16"/>
      <c r="J64" s="6" t="s">
        <v>3</v>
      </c>
      <c r="K64" s="15"/>
      <c r="L64" s="15"/>
      <c r="M64" s="15"/>
      <c r="N64" s="15"/>
      <c r="O64" s="7">
        <f t="shared" si="8"/>
        <v>0</v>
      </c>
    </row>
    <row r="65" spans="1:15" ht="62.5" x14ac:dyDescent="0.35">
      <c r="A65" s="71">
        <v>3</v>
      </c>
      <c r="B65" s="72" t="s">
        <v>3</v>
      </c>
      <c r="C65" s="73" t="s">
        <v>266</v>
      </c>
      <c r="D65" s="72" t="str">
        <f>IF(C65&lt;&gt;"",VLOOKUP(C65,Preciario!$A$2:$D$66,2,FALSE),"")</f>
        <v>T91B47</v>
      </c>
      <c r="E65" s="73" t="str">
        <f>IF(C65&lt;&gt;"",VLOOKUP(C65,Preciario!$A$2:$D$66,3,FALSE),"")</f>
        <v xml:space="preserve">Accesorio para montaje en poste T91B47 para instalaciones en interiores y exteriores, para postes con un diámetro de entre 50 y 150 mm (2"-6"). Incluye 1 par de correas de acero inoxidable de 570 mm (22,5") con interfaz de tornillo TX30 para facilitar la instalación. </v>
      </c>
      <c r="F65" s="24">
        <f>IF(C65&lt;&gt;"",VLOOKUP(C65,Preciario!$A$2:$D$66,4,FALSE),"")</f>
        <v>89</v>
      </c>
      <c r="G65" s="24">
        <f t="shared" si="7"/>
        <v>267</v>
      </c>
      <c r="I65" s="16"/>
      <c r="J65" s="6" t="s">
        <v>3</v>
      </c>
      <c r="K65" s="15"/>
      <c r="L65" s="15"/>
      <c r="M65" s="15"/>
      <c r="N65" s="15"/>
      <c r="O65" s="7">
        <f t="shared" ref="O65" si="9">+N65*I65</f>
        <v>0</v>
      </c>
    </row>
    <row r="66" spans="1:15" x14ac:dyDescent="0.35">
      <c r="A66" s="71">
        <v>3</v>
      </c>
      <c r="B66" s="72" t="s">
        <v>3</v>
      </c>
      <c r="C66" s="73" t="s">
        <v>31</v>
      </c>
      <c r="D66" s="72" t="str">
        <f>IF(C66&lt;&gt;"",VLOOKUP(C66,Preciario!$A$2:$D$66,2,FALSE),"")</f>
        <v>LIC_CAM</v>
      </c>
      <c r="E66" s="73" t="str">
        <f>IF(C66&lt;&gt;"",VLOOKUP(C66,Preciario!$A$2:$D$66,3,FALSE),"")</f>
        <v xml:space="preserve">Licenciamiento de cámara en servidor </v>
      </c>
      <c r="F66" s="24">
        <f>IF(C66&lt;&gt;"",VLOOKUP(C66,Preciario!$A$2:$D$66,4,FALSE),"")</f>
        <v>159.05000000000001</v>
      </c>
      <c r="G66" s="24">
        <f t="shared" si="7"/>
        <v>477.15000000000003</v>
      </c>
      <c r="I66" s="16"/>
      <c r="J66" s="6" t="s">
        <v>3</v>
      </c>
      <c r="K66" s="15"/>
      <c r="L66" s="15"/>
      <c r="M66" s="15"/>
      <c r="N66" s="15"/>
      <c r="O66" s="7">
        <f t="shared" si="8"/>
        <v>0</v>
      </c>
    </row>
    <row r="67" spans="1:15" ht="25" x14ac:dyDescent="0.35">
      <c r="A67" s="71">
        <v>100</v>
      </c>
      <c r="B67" s="72" t="s">
        <v>10</v>
      </c>
      <c r="C67" s="73" t="s">
        <v>273</v>
      </c>
      <c r="D67" s="72" t="str">
        <f>IF(C67&lt;&gt;"",VLOOKUP(C67,Preciario!$A$2:$D$66,2,FALSE),"")</f>
        <v>TUBAC32</v>
      </c>
      <c r="E67" s="73" t="str">
        <f>IF(C67&lt;&gt;"",VLOOKUP(C67,Preciario!$A$2:$D$66,3,FALSE),"")</f>
        <v>Suministro e instalación de tubo acero M32, p.p mano de obra y accesorios</v>
      </c>
      <c r="F67" s="24">
        <f>IF(C67&lt;&gt;"",VLOOKUP(C67,Preciario!$A$2:$D$66,4,FALSE),"")</f>
        <v>24.78</v>
      </c>
      <c r="G67" s="24">
        <f t="shared" si="7"/>
        <v>2478</v>
      </c>
      <c r="I67" s="16"/>
      <c r="J67" s="6" t="s">
        <v>10</v>
      </c>
      <c r="K67" s="15"/>
      <c r="L67" s="15"/>
      <c r="M67" s="15"/>
      <c r="N67" s="15"/>
      <c r="O67" s="7">
        <f t="shared" si="8"/>
        <v>0</v>
      </c>
    </row>
    <row r="68" spans="1:15" ht="62.5" x14ac:dyDescent="0.35">
      <c r="A68" s="71">
        <v>225</v>
      </c>
      <c r="B68" s="72" t="s">
        <v>10</v>
      </c>
      <c r="C68" s="73" t="s">
        <v>277</v>
      </c>
      <c r="D68" s="72" t="str">
        <f>IF(C68&lt;&gt;"",VLOOKUP(C68,Preciario!$A$2:$D$66,2,FALSE),"")</f>
        <v>FTP_CAT6A/CAT7</v>
      </c>
      <c r="E68" s="73" t="str">
        <f>IF(C68&lt;&gt;"",VLOOKUP(C68,Preciario!$A$2:$D$66,3,FALSE),"")</f>
        <v xml:space="preserve">Suministro e instalación de manguera de FTP CAT6 o superior CAT7 de exterior con cubierta de PE protección UV, malla-chapa antiroedor, CPR, 4 pares trenzados, bindaje independiente por par y blindaje común a los 4 pares, pp. Conexionado y certificación </v>
      </c>
      <c r="F68" s="24">
        <f>IF(C68&lt;&gt;"",VLOOKUP(C68,Preciario!$A$2:$D$66,4,FALSE),"")</f>
        <v>4.8</v>
      </c>
      <c r="G68" s="24">
        <f t="shared" si="7"/>
        <v>1080</v>
      </c>
      <c r="I68" s="16"/>
      <c r="J68" s="6" t="s">
        <v>10</v>
      </c>
      <c r="K68" s="15"/>
      <c r="L68" s="15"/>
      <c r="M68" s="15"/>
      <c r="N68" s="15"/>
      <c r="O68" s="7">
        <f t="shared" si="8"/>
        <v>0</v>
      </c>
    </row>
    <row r="69" spans="1:15" ht="75" x14ac:dyDescent="0.35">
      <c r="A69" s="71">
        <v>1</v>
      </c>
      <c r="B69" s="72" t="s">
        <v>3</v>
      </c>
      <c r="C69" s="73" t="s">
        <v>234</v>
      </c>
      <c r="D69" s="72" t="str">
        <f>IF(C69&lt;&gt;"",VLOOKUP(C69,Preciario!$A$2:$D$66,2,FALSE),"")</f>
        <v>ZPT606060</v>
      </c>
      <c r="E69" s="73" t="str">
        <f>IF(C69&lt;&gt;"",VLOOKUP(C69,Preciario!$A$2:$D$66,3,FALSE),"")</f>
        <v>Ejecución de zapata de hormigón de 0,60x0,60x0,60, incluyendo la excavación y la carga y el transporte de las tierras a vertedero autorizado, y la construcción con hormigón en masa y previo de limpieza, mallazo en la base de la zapata, y placa de anclaje de 2 cms y cuatro garrotas D=30 mm; i/ p.p. medios auxiliares. </v>
      </c>
      <c r="F69" s="24">
        <f>IF(C69&lt;&gt;"",VLOOKUP(C69,Preciario!$A$2:$D$66,4,FALSE),"")</f>
        <v>226.5</v>
      </c>
      <c r="G69" s="24">
        <f t="shared" si="7"/>
        <v>226.5</v>
      </c>
      <c r="I69" s="16"/>
      <c r="J69" s="6" t="s">
        <v>3</v>
      </c>
      <c r="K69" s="15"/>
      <c r="L69" s="15"/>
      <c r="M69" s="15"/>
      <c r="N69" s="15"/>
      <c r="O69" s="7">
        <f t="shared" si="8"/>
        <v>0</v>
      </c>
    </row>
    <row r="70" spans="1:15" ht="25" x14ac:dyDescent="0.35">
      <c r="A70" s="71">
        <f>'Presupuesto Total'!D32</f>
        <v>1</v>
      </c>
      <c r="B70" s="72" t="s">
        <v>11</v>
      </c>
      <c r="C70" s="73" t="s">
        <v>163</v>
      </c>
      <c r="D70" s="72" t="s">
        <v>164</v>
      </c>
      <c r="E70" s="73" t="str">
        <f>IF(C70&lt;&gt;"",VLOOKUP(C70,Preciario!$A$2:$D$66,3,FALSE),"")</f>
        <v>Partida ayudas auxiliares en equipamiento y mano de obra en sistemas de energía</v>
      </c>
      <c r="F70" s="24">
        <v>375.08249999999998</v>
      </c>
      <c r="G70" s="24">
        <f t="shared" si="7"/>
        <v>375.08249999999998</v>
      </c>
      <c r="I70" s="16"/>
      <c r="J70" s="6" t="s">
        <v>11</v>
      </c>
      <c r="K70" s="15"/>
      <c r="L70" s="15"/>
      <c r="M70" s="15"/>
      <c r="N70" s="15"/>
      <c r="O70" s="7">
        <f t="shared" si="8"/>
        <v>0</v>
      </c>
    </row>
    <row r="71" spans="1:15" ht="25" x14ac:dyDescent="0.35">
      <c r="A71" s="71">
        <f>'Presupuesto Total'!D33</f>
        <v>1</v>
      </c>
      <c r="B71" s="72" t="s">
        <v>11</v>
      </c>
      <c r="C71" s="73" t="s">
        <v>185</v>
      </c>
      <c r="D71" s="72" t="s">
        <v>162</v>
      </c>
      <c r="E71" s="73" t="str">
        <f>IF(C71&lt;&gt;"",VLOOKUP(C71,Preciario!$A$2:$D$66,3,FALSE),"")</f>
        <v>Partida ayudas auxiliares en equipamiento y mano de obra en albañilería</v>
      </c>
      <c r="F71" s="24">
        <v>375.08249999999998</v>
      </c>
      <c r="G71" s="24">
        <f t="shared" si="7"/>
        <v>375.08249999999998</v>
      </c>
      <c r="I71" s="16"/>
      <c r="J71" s="6" t="s">
        <v>11</v>
      </c>
      <c r="K71" s="15"/>
      <c r="L71" s="15"/>
      <c r="M71" s="15"/>
      <c r="N71" s="15"/>
      <c r="O71" s="7">
        <f t="shared" si="8"/>
        <v>0</v>
      </c>
    </row>
    <row r="72" spans="1:15" x14ac:dyDescent="0.35">
      <c r="A72" s="8"/>
      <c r="B72" s="8"/>
      <c r="C72" s="9"/>
      <c r="D72" s="9"/>
      <c r="E72" s="9"/>
      <c r="F72" s="19" t="s">
        <v>4</v>
      </c>
      <c r="G72" s="20">
        <f>SUM(G63:G71)</f>
        <v>7855.8150000000005</v>
      </c>
      <c r="I72" s="8"/>
      <c r="J72" s="8"/>
      <c r="K72" s="9"/>
      <c r="L72" s="9"/>
      <c r="M72" s="9"/>
      <c r="N72" s="19" t="s">
        <v>4</v>
      </c>
      <c r="O72" s="20">
        <f>SUM(O63:O71)</f>
        <v>0</v>
      </c>
    </row>
    <row r="73" spans="1:15" x14ac:dyDescent="0.35">
      <c r="A73" s="10"/>
      <c r="B73" s="10"/>
      <c r="C73" s="11"/>
      <c r="D73" s="11"/>
      <c r="E73" s="11"/>
      <c r="F73" s="11"/>
      <c r="G73" s="11"/>
      <c r="I73" s="10"/>
      <c r="J73" s="10"/>
      <c r="K73" s="11"/>
      <c r="L73" s="11"/>
      <c r="M73" s="11"/>
      <c r="N73" s="11"/>
      <c r="O73" s="11"/>
    </row>
    <row r="74" spans="1:15" ht="14.4" customHeight="1" x14ac:dyDescent="0.35">
      <c r="A74" s="198" t="s">
        <v>291</v>
      </c>
      <c r="B74" s="199"/>
      <c r="C74" s="200"/>
      <c r="D74" s="4"/>
      <c r="E74" s="4"/>
      <c r="F74" s="4"/>
      <c r="G74" s="5"/>
      <c r="I74" s="198" t="s">
        <v>194</v>
      </c>
      <c r="J74" s="199"/>
      <c r="K74" s="200"/>
      <c r="L74" s="87"/>
      <c r="M74" s="87"/>
      <c r="N74" s="4"/>
      <c r="O74" s="4"/>
    </row>
    <row r="75" spans="1:15" x14ac:dyDescent="0.35">
      <c r="A75" s="197" t="s">
        <v>0</v>
      </c>
      <c r="B75" s="197"/>
      <c r="C75" s="12" t="s">
        <v>13</v>
      </c>
      <c r="D75" s="12" t="s">
        <v>14</v>
      </c>
      <c r="E75" s="12" t="s">
        <v>256</v>
      </c>
      <c r="F75" s="12" t="s">
        <v>2</v>
      </c>
      <c r="G75" s="13" t="s">
        <v>7</v>
      </c>
      <c r="I75" s="197" t="s">
        <v>0</v>
      </c>
      <c r="J75" s="197"/>
      <c r="K75" s="12" t="s">
        <v>13</v>
      </c>
      <c r="L75" s="12" t="s">
        <v>14</v>
      </c>
      <c r="M75" s="12" t="s">
        <v>256</v>
      </c>
      <c r="N75" s="12" t="s">
        <v>2</v>
      </c>
      <c r="O75" s="13" t="s">
        <v>7</v>
      </c>
    </row>
    <row r="76" spans="1:15" x14ac:dyDescent="0.35">
      <c r="A76" s="71">
        <v>2</v>
      </c>
      <c r="B76" s="72" t="s">
        <v>3</v>
      </c>
      <c r="C76" s="73" t="s">
        <v>213</v>
      </c>
      <c r="D76" s="72" t="str">
        <f>IF(C76&lt;&gt;"",VLOOKUP(C76,Preciario!$A$2:$D$66,2,FALSE),"")</f>
        <v>HDD14TB</v>
      </c>
      <c r="E76" s="73" t="str">
        <f>IF(C76&lt;&gt;"",VLOOKUP(C76,Preciario!$A$2:$D$66,3,FALSE),"")</f>
        <v>Disco duro SERVIDOR 14TB</v>
      </c>
      <c r="F76" s="24">
        <f>IF(C76&lt;&gt;"",VLOOKUP(C76,Preciario!$A$2:$D$66,4,FALSE),"")</f>
        <v>995.30000000000007</v>
      </c>
      <c r="G76" s="24">
        <f>A76*F76</f>
        <v>1990.6000000000001</v>
      </c>
      <c r="I76" s="16"/>
      <c r="J76" s="6" t="s">
        <v>3</v>
      </c>
      <c r="K76" s="15"/>
      <c r="L76" s="15"/>
      <c r="M76" s="15"/>
      <c r="N76" s="15"/>
      <c r="O76" s="7">
        <f t="shared" ref="O76:O77" si="10">+N76*I76</f>
        <v>0</v>
      </c>
    </row>
    <row r="77" spans="1:15" ht="15" customHeight="1" x14ac:dyDescent="0.35">
      <c r="A77" s="71">
        <v>1</v>
      </c>
      <c r="B77" s="72" t="s">
        <v>11</v>
      </c>
      <c r="C77" s="73" t="s">
        <v>207</v>
      </c>
      <c r="D77" s="72" t="s">
        <v>208</v>
      </c>
      <c r="E77" s="73" t="s">
        <v>207</v>
      </c>
      <c r="F77" s="24">
        <v>127.65</v>
      </c>
      <c r="G77" s="24">
        <f>A77*F77</f>
        <v>127.65</v>
      </c>
      <c r="I77" s="16"/>
      <c r="J77" s="6" t="s">
        <v>11</v>
      </c>
      <c r="K77" s="15"/>
      <c r="L77" s="15"/>
      <c r="M77" s="15"/>
      <c r="N77" s="15"/>
      <c r="O77" s="7">
        <f t="shared" si="10"/>
        <v>0</v>
      </c>
    </row>
    <row r="78" spans="1:15" x14ac:dyDescent="0.35">
      <c r="A78" s="8"/>
      <c r="B78" s="8"/>
      <c r="C78" s="9"/>
      <c r="D78" s="9"/>
      <c r="E78" s="9"/>
      <c r="F78" s="19" t="s">
        <v>4</v>
      </c>
      <c r="G78" s="20">
        <f>SUM(G76:G77)</f>
        <v>2118.25</v>
      </c>
      <c r="I78" s="8"/>
      <c r="J78" s="8"/>
      <c r="K78" s="9"/>
      <c r="L78" s="9"/>
      <c r="M78" s="9"/>
      <c r="N78" s="19" t="s">
        <v>4</v>
      </c>
      <c r="O78" s="20">
        <f>SUM(O76:O77)</f>
        <v>0</v>
      </c>
    </row>
    <row r="79" spans="1:15" x14ac:dyDescent="0.35">
      <c r="A79" s="10"/>
      <c r="B79" s="10"/>
      <c r="C79" s="11"/>
      <c r="D79" s="11"/>
      <c r="E79" s="11"/>
      <c r="F79" s="11"/>
      <c r="G79" s="11"/>
      <c r="H79" s="49"/>
      <c r="I79" s="10"/>
      <c r="J79" s="10"/>
      <c r="K79" s="11"/>
      <c r="L79" s="11"/>
      <c r="M79" s="11"/>
      <c r="N79" s="11"/>
      <c r="O79" s="11"/>
    </row>
    <row r="80" spans="1:15" ht="27" customHeight="1" x14ac:dyDescent="0.35">
      <c r="A80" s="194" t="s">
        <v>123</v>
      </c>
      <c r="B80" s="195"/>
      <c r="C80" s="195"/>
      <c r="D80" s="195"/>
      <c r="E80" s="195"/>
      <c r="F80" s="196"/>
      <c r="G80" s="22">
        <f>G32+G59+G72+G78</f>
        <v>146511.61141666671</v>
      </c>
      <c r="I80" s="194" t="s">
        <v>123</v>
      </c>
      <c r="J80" s="195"/>
      <c r="K80" s="195"/>
      <c r="L80" s="195"/>
      <c r="M80" s="195"/>
      <c r="N80" s="196"/>
      <c r="O80" s="25">
        <f>O32+O59+O72+O78</f>
        <v>0</v>
      </c>
    </row>
    <row r="83" spans="4:5" x14ac:dyDescent="0.35">
      <c r="D83" s="161"/>
    </row>
    <row r="84" spans="4:5" x14ac:dyDescent="0.35">
      <c r="D84" s="161"/>
    </row>
    <row r="85" spans="4:5" x14ac:dyDescent="0.35">
      <c r="D85" s="161"/>
    </row>
    <row r="86" spans="4:5" x14ac:dyDescent="0.35">
      <c r="D86" s="161"/>
    </row>
    <row r="87" spans="4:5" x14ac:dyDescent="0.35">
      <c r="D87" s="161"/>
    </row>
    <row r="88" spans="4:5" x14ac:dyDescent="0.35">
      <c r="D88" s="161"/>
    </row>
    <row r="89" spans="4:5" x14ac:dyDescent="0.35">
      <c r="D89" s="162"/>
    </row>
    <row r="90" spans="4:5" x14ac:dyDescent="0.35">
      <c r="D90" s="161"/>
    </row>
    <row r="91" spans="4:5" x14ac:dyDescent="0.35">
      <c r="D91" s="161"/>
    </row>
    <row r="95" spans="4:5" x14ac:dyDescent="0.35">
      <c r="D95" s="161"/>
      <c r="E95" s="163"/>
    </row>
  </sheetData>
  <sheetProtection algorithmName="SHA-512" hashValue="tigcmY4pNuSVuhsZWQ9qe0+jtjcAB4bJaOxU535gU9aBb/UOaPFqkAEb2dy9d0vgUQ7Eaf+dL7AE47z6QjdHGg==" saltValue="jowrGr694YiNUpXUIn6Abg==" spinCount="100000" sheet="1" selectLockedCells="1"/>
  <mergeCells count="22">
    <mergeCell ref="D3:K6"/>
    <mergeCell ref="A9:O9"/>
    <mergeCell ref="C11:D11"/>
    <mergeCell ref="K11:L11"/>
    <mergeCell ref="A21:C21"/>
    <mergeCell ref="I21:K21"/>
    <mergeCell ref="A22:B22"/>
    <mergeCell ref="I22:J22"/>
    <mergeCell ref="A34:C34"/>
    <mergeCell ref="I34:K34"/>
    <mergeCell ref="A35:B35"/>
    <mergeCell ref="I35:J35"/>
    <mergeCell ref="A61:C61"/>
    <mergeCell ref="I61:K61"/>
    <mergeCell ref="A62:B62"/>
    <mergeCell ref="I62:J62"/>
    <mergeCell ref="A80:F80"/>
    <mergeCell ref="I80:N80"/>
    <mergeCell ref="A74:C74"/>
    <mergeCell ref="I74:K74"/>
    <mergeCell ref="A75:B75"/>
    <mergeCell ref="I75:J75"/>
  </mergeCells>
  <dataValidations count="3">
    <dataValidation type="decimal" allowBlank="1" showErrorMessage="1" error="Introducir Precio Unitario" sqref="N61 N72 N59 N32:N34 N74 N78" xr:uid="{3908E25F-5F76-4442-8E18-FC6E25A7FC85}">
      <formula1>1</formula1>
      <formula2>100000</formula2>
    </dataValidation>
    <dataValidation type="decimal" allowBlank="1" showInputMessage="1" showErrorMessage="1" error="Introducir Precio Unitario" sqref="F22 N75 F62 F75 N22 F35 N62 N35" xr:uid="{250E5F67-1743-4686-9BDE-E49DE3651EDE}">
      <formula1>1</formula1>
      <formula2>100000</formula2>
    </dataValidation>
    <dataValidation type="whole" allowBlank="1" showInputMessage="1" showErrorMessage="1" error="Introducir Unidades" sqref="A75 A22 I72 A62 I59 A35 I35 I32:I33 I22 I62 I75 I78" xr:uid="{0171C104-A069-40FC-9D1D-BF633D9C9DD2}">
      <formula1>1</formula1>
      <formula2>1000</formula2>
    </dataValidation>
  </dataValidations>
  <hyperlinks>
    <hyperlink ref="H11" location="'Presupuesto Total'!A1" display="ÍNDICE" xr:uid="{8CB6F2E8-1E5D-4354-A61A-DD6039B00825}"/>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Presupuesto Total</vt:lpstr>
      <vt:lpstr>Preciario</vt:lpstr>
      <vt:lpstr>5_ALUCHE</vt:lpstr>
      <vt:lpstr>6_FUENCARRAL</vt:lpstr>
      <vt:lpstr>7_SACEDAL</vt:lpstr>
      <vt:lpstr>8_LAGUNA</vt:lpstr>
      <vt:lpstr>9.1_HORTALEZA</vt:lpstr>
      <vt:lpstr>9.4_HORTALEZA</vt:lpstr>
      <vt:lpstr>11_LORANCA</vt:lpstr>
      <vt:lpstr>12_VALDECARROS</vt:lpstr>
      <vt:lpstr>COCH_PTA_ARGANDA</vt:lpstr>
      <vt:lpstr>Consumo Pw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2023-07-14T12:07:59Z</dcterms:modified>
</cp:coreProperties>
</file>