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2023\016305-23 BOLSAS Y CELULOSA 2 L  PR EBL PILAR\3 PUBLICACIONES\2 LICITACIÓN\"/>
    </mc:Choice>
  </mc:AlternateContent>
  <workbookProtection workbookAlgorithmName="SHA-512" workbookHashValue="36oDuTTbiz6r+Jc6Iubpj3tRbFRggLWVUypFKsVMsoASW4z8W9NmfAyV1PflaXB9xI31ZHhW2YDdJ+lJrv5bsg==" workbookSaltValue="k4Myj2wIzd2KVxMCmFtjZQ==" workbookSpinCount="100000" lockStructure="1"/>
  <bookViews>
    <workbookView xWindow="0" yWindow="0" windowWidth="28800" windowHeight="12140"/>
  </bookViews>
  <sheets>
    <sheet name="Lote 2" sheetId="1" r:id="rId1"/>
  </sheets>
  <definedNames>
    <definedName name="aa" localSheetId="0">#REF!</definedName>
    <definedName name="aa">#REF!</definedName>
    <definedName name="_xlnm.Print_Area" localSheetId="0">'Lote 2'!$A$1:$O$15</definedName>
    <definedName name="bb" localSheetId="0">#REF!</definedName>
    <definedName name="bb">#REF!</definedName>
    <definedName name="bbbb" localSheetId="0">#REF!</definedName>
    <definedName name="bbbb">#REF!</definedName>
    <definedName name="DE" localSheetId="0">#REF!</definedName>
    <definedName name="DE">#REF!</definedName>
    <definedName name="m" localSheetId="0">#REF!</definedName>
    <definedName name="m">#REF!</definedName>
    <definedName name="MAX" localSheetId="0">#REF!</definedName>
    <definedName name="MAX">#REF!</definedName>
    <definedName name="MAXIM" localSheetId="0">#REF!</definedName>
    <definedName name="MAXIM">#REF!</definedName>
    <definedName name="MAXIMO" localSheetId="0">#REF!</definedName>
    <definedName name="MAXIMO">#REF!</definedName>
    <definedName name="MIN" localSheetId="0">#REF!</definedName>
    <definedName name="MIN">#REF!</definedName>
    <definedName name="MINIM" localSheetId="0">#REF!</definedName>
    <definedName name="MINIM">#REF!</definedName>
    <definedName name="MINIMO" localSheetId="0">#REF!</definedName>
    <definedName name="MINIMO">#REF!</definedName>
    <definedName name="PEDRO" localSheetId="0">#REF!</definedName>
    <definedName name="PEDRO">#REF!</definedName>
    <definedName name="RRRRR" localSheetId="0">#REF!</definedName>
    <definedName name="RRRRR">#REF!</definedName>
    <definedName name="xxxxxxxxxxxxxxxxxxxxxxxxxxx" localSheetId="0">#REF!</definedName>
    <definedName name="xxxxxxxxxxxxxxxxxxxxxxxx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6" i="1"/>
  <c r="F7" i="1"/>
  <c r="F10" i="1"/>
  <c r="F11" i="1"/>
  <c r="F14" i="1"/>
  <c r="J14" i="1"/>
  <c r="M14" i="1"/>
  <c r="J13" i="1"/>
  <c r="M13" i="1"/>
  <c r="F13" i="1"/>
  <c r="J12" i="1"/>
  <c r="F12" i="1"/>
  <c r="J11" i="1"/>
  <c r="J10" i="1"/>
  <c r="M10" i="1"/>
  <c r="J9" i="1"/>
  <c r="M9" i="1"/>
  <c r="F9" i="1"/>
  <c r="J8" i="1"/>
  <c r="F8" i="1"/>
  <c r="J7" i="1"/>
  <c r="J6" i="1"/>
  <c r="M6" i="1"/>
  <c r="J5" i="1"/>
  <c r="M5" i="1"/>
  <c r="F5" i="1"/>
  <c r="J4" i="1"/>
  <c r="F4" i="1"/>
  <c r="J3" i="1"/>
  <c r="J15" i="1" l="1"/>
  <c r="M4" i="1"/>
  <c r="N4" i="1" s="1"/>
  <c r="O4" i="1" s="1"/>
  <c r="M8" i="1"/>
  <c r="N8" i="1" s="1"/>
  <c r="O8" i="1" s="1"/>
  <c r="M12" i="1"/>
  <c r="N12" i="1" s="1"/>
  <c r="O12" i="1" s="1"/>
  <c r="M7" i="1"/>
  <c r="N7" i="1" s="1"/>
  <c r="O7" i="1" s="1"/>
  <c r="M11" i="1"/>
  <c r="N11" i="1" s="1"/>
  <c r="O11" i="1" s="1"/>
  <c r="M3" i="1"/>
  <c r="N3" i="1" s="1"/>
  <c r="N6" i="1"/>
  <c r="O6" i="1" s="1"/>
  <c r="N10" i="1"/>
  <c r="O10" i="1" s="1"/>
  <c r="N14" i="1"/>
  <c r="O14" i="1" s="1"/>
  <c r="N5" i="1"/>
  <c r="O5" i="1" s="1"/>
  <c r="N9" i="1"/>
  <c r="O9" i="1" s="1"/>
  <c r="N13" i="1"/>
  <c r="O13" i="1" s="1"/>
  <c r="K3" i="1"/>
  <c r="K4" i="1"/>
  <c r="L4" i="1" s="1"/>
  <c r="K5" i="1"/>
  <c r="L5" i="1" s="1"/>
  <c r="K6" i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L3" i="1"/>
  <c r="M15" i="1" l="1"/>
  <c r="N15" i="1"/>
  <c r="L15" i="1"/>
  <c r="K15" i="1"/>
  <c r="O3" i="1"/>
  <c r="O15" i="1" l="1"/>
</calcChain>
</file>

<file path=xl/comments1.xml><?xml version="1.0" encoding="utf-8"?>
<comments xmlns="http://schemas.openxmlformats.org/spreadsheetml/2006/main">
  <authors>
    <author>ICM</author>
  </authors>
  <commentList>
    <comment ref="F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</text>
    </comment>
  </commentList>
</comments>
</file>

<file path=xl/sharedStrings.xml><?xml version="1.0" encoding="utf-8"?>
<sst xmlns="http://schemas.openxmlformats.org/spreadsheetml/2006/main" count="54" uniqueCount="44">
  <si>
    <t>BASE IMPONIBLE UNIDAD</t>
  </si>
  <si>
    <t>IMPORTE LICITACIÓN</t>
  </si>
  <si>
    <t>IMPORTE OFERTA</t>
  </si>
  <si>
    <t xml:space="preserve">Descripción del producto </t>
  </si>
  <si>
    <t xml:space="preserve">Unidad </t>
  </si>
  <si>
    <t>Licitación</t>
  </si>
  <si>
    <t>Oferta</t>
  </si>
  <si>
    <t>Control</t>
  </si>
  <si>
    <t xml:space="preserve">Unidades
12 meses </t>
  </si>
  <si>
    <t xml:space="preserve">Unidades
24 meses </t>
  </si>
  <si>
    <t>IVA aplicable</t>
  </si>
  <si>
    <t>Base Imponible licitacion</t>
  </si>
  <si>
    <t>IVA licitacion</t>
  </si>
  <si>
    <t>Importe (IVA incl.) licitacion</t>
  </si>
  <si>
    <t>Base imponible oferta</t>
  </si>
  <si>
    <t>IVA</t>
  </si>
  <si>
    <t>Total oferta
(IVA incluido)</t>
  </si>
  <si>
    <t>100 Metros</t>
  </si>
  <si>
    <t>100 Unidades</t>
  </si>
  <si>
    <t>Rollo de papel higiénico doméstico celulosa 100%, 2 capas, blanco, 
anchura rollo =&gt;9 cm, longitud más de 22 hasta 50 m.</t>
  </si>
  <si>
    <t>Bobina de papel higiénico de celulosa 100%, 2 capas, blanco, 
anchura rollo =&gt; 9 cm, longitud =&gt; 120 m.</t>
  </si>
  <si>
    <t>Pañuelos de celulosa 100 % de bolsillo, =&gt; 2 capas, blanco, 
gramaje papel =&gt; 16 gr/m2 por capa.</t>
  </si>
  <si>
    <t>Pañuelos de celulosa 100 % en caja, =&gt; 2 capas, blanco, 
=&gt; 21x20 cm, gramaje papel =&gt; 16 gr/m2 por capa.</t>
  </si>
  <si>
    <t>Toallas celulosa 100%, 2 capas, blanco, c/s engarzar, 
=&gt; sin plegar 21x20 cm, gramaje papel =&gt; 17 gr/m2 por capa.</t>
  </si>
  <si>
    <t>Toallas celulosa reciclada, 2 capas, blanco, c/s engarzar,
 =&gt; sin plegar 21x20 cm, gramaje papel =&gt; 17 gr/m2 por capa.</t>
  </si>
  <si>
    <t>Bobinas secamanos celulosa 100% , 2 capas, longitud =&gt;120 m,
 anchura rollo=&gt;20 cm .</t>
  </si>
  <si>
    <t>Servilletas de celulosa 100 %, 2 capas, blanco, =&gt; 30x30 cm, 
gramaje papel =&gt; 16 gr/m2 por capa.</t>
  </si>
  <si>
    <t>Servilletas de celulosa 100 %, 1capa, blanco, =&gt; 30x30 cm,
 gramaje papel =&gt; 19 gr/m2 por capa.</t>
  </si>
  <si>
    <t>Rollos de cocina, celulosa 100 %, 2 capas, blanco, ancho &lt;= 25 cm , 
longitud &lt; = 25 m.</t>
  </si>
  <si>
    <t>Rollos de papel camilla 1 capa c/precorte, blanco, 
gramaje papel =&gt; 38 gr/m2 por capa.</t>
  </si>
  <si>
    <t>Babero desechable de celulosa de adulto, con bolsillo recogelíquidos.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</si>
  <si>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</si>
  <si>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</si>
  <si>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</si>
  <si>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</si>
  <si>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</si>
  <si>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</si>
  <si>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</si>
  <si>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</si>
  <si>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</si>
  <si>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</si>
  <si>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</si>
  <si>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</si>
  <si>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Referencias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</si>
</sst>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sz val="10"/>
      <color rgb="FF00B050"/>
      <name val="Arial"/>
      <family val="2"/>
    </font>
    <font>
      <sz val="10"/>
      <color theme="0" tint="-0.3499862666707357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2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165" fontId="4" fillId="3" borderId="7" xfId="1" applyNumberFormat="1" applyFont="1" applyFill="1" applyBorder="1" applyAlignment="1">
      <alignment horizontal="center" vertical="center" wrapText="1"/>
    </xf>
    <xf numFmtId="165" fontId="5" fillId="3" borderId="5" xfId="1" applyNumberFormat="1" applyFont="1" applyFill="1" applyBorder="1" applyAlignment="1">
      <alignment horizontal="center" vertical="center" wrapText="1"/>
    </xf>
    <xf numFmtId="165" fontId="4" fillId="3" borderId="8" xfId="1" applyNumberFormat="1" applyFont="1" applyFill="1" applyBorder="1" applyAlignment="1">
      <alignment horizontal="center" vertical="center" wrapText="1"/>
    </xf>
    <xf numFmtId="3" fontId="4" fillId="2" borderId="5" xfId="1" applyNumberFormat="1" applyFont="1" applyFill="1" applyBorder="1" applyAlignment="1">
      <alignment horizontal="center" vertical="center" wrapText="1"/>
    </xf>
    <xf numFmtId="165" fontId="4" fillId="3" borderId="5" xfId="1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7" xfId="0" applyNumberFormat="1" applyFont="1" applyFill="1" applyBorder="1" applyAlignment="1">
      <alignment horizontal="center" vertical="center" wrapText="1"/>
    </xf>
    <xf numFmtId="165" fontId="4" fillId="3" borderId="6" xfId="1" applyNumberFormat="1" applyFont="1" applyFill="1" applyBorder="1" applyAlignment="1">
      <alignment horizontal="center" vertical="center" wrapText="1"/>
    </xf>
    <xf numFmtId="165" fontId="4" fillId="3" borderId="9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3" fillId="0" borderId="10" xfId="0" applyFont="1" applyFill="1" applyBorder="1" applyAlignment="1">
      <alignment horizontal="left" vertical="center" wrapText="1"/>
    </xf>
    <xf numFmtId="165" fontId="6" fillId="0" borderId="12" xfId="0" applyNumberFormat="1" applyFont="1" applyFill="1" applyBorder="1" applyAlignment="1">
      <alignment horizontal="center" vertical="center"/>
    </xf>
    <xf numFmtId="165" fontId="7" fillId="0" borderId="13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vertical="center"/>
    </xf>
    <xf numFmtId="3" fontId="6" fillId="0" borderId="12" xfId="0" applyNumberFormat="1" applyFont="1" applyFill="1" applyBorder="1" applyAlignment="1">
      <alignment vertical="center"/>
    </xf>
    <xf numFmtId="9" fontId="6" fillId="0" borderId="11" xfId="0" applyNumberFormat="1" applyFont="1" applyFill="1" applyBorder="1" applyAlignment="1">
      <alignment horizontal="center" vertical="center"/>
    </xf>
    <xf numFmtId="165" fontId="8" fillId="0" borderId="12" xfId="0" applyNumberFormat="1" applyFont="1" applyFill="1" applyBorder="1" applyAlignment="1">
      <alignment vertical="center"/>
    </xf>
    <xf numFmtId="165" fontId="8" fillId="0" borderId="11" xfId="0" applyNumberFormat="1" applyFont="1" applyBorder="1" applyAlignment="1">
      <alignment vertical="center"/>
    </xf>
    <xf numFmtId="165" fontId="4" fillId="0" borderId="12" xfId="0" applyNumberFormat="1" applyFont="1" applyBorder="1" applyAlignment="1">
      <alignment vertical="center"/>
    </xf>
    <xf numFmtId="165" fontId="4" fillId="0" borderId="11" xfId="0" applyNumberFormat="1" applyFont="1" applyBorder="1" applyAlignment="1">
      <alignment vertical="center"/>
    </xf>
    <xf numFmtId="0" fontId="1" fillId="0" borderId="0" xfId="0" applyFont="1"/>
    <xf numFmtId="0" fontId="3" fillId="0" borderId="14" xfId="0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165" fontId="7" fillId="0" borderId="1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9" fontId="6" fillId="0" borderId="1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vertical="center"/>
    </xf>
    <xf numFmtId="165" fontId="8" fillId="0" borderId="15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4" fillId="0" borderId="15" xfId="0" applyNumberFormat="1" applyFont="1" applyBorder="1" applyAlignment="1">
      <alignment vertical="center"/>
    </xf>
    <xf numFmtId="0" fontId="3" fillId="3" borderId="18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165" fontId="4" fillId="3" borderId="18" xfId="0" applyNumberFormat="1" applyFont="1" applyFill="1" applyBorder="1" applyAlignment="1">
      <alignment horizontal="center" vertical="center"/>
    </xf>
    <xf numFmtId="165" fontId="4" fillId="3" borderId="17" xfId="0" applyNumberFormat="1" applyFont="1" applyFill="1" applyBorder="1" applyAlignment="1">
      <alignment horizontal="center" vertical="center"/>
    </xf>
    <xf numFmtId="165" fontId="4" fillId="3" borderId="19" xfId="0" applyNumberFormat="1" applyFont="1" applyFill="1" applyBorder="1" applyAlignment="1">
      <alignment horizontal="center" vertical="center"/>
    </xf>
    <xf numFmtId="165" fontId="9" fillId="3" borderId="18" xfId="0" applyNumberFormat="1" applyFont="1" applyFill="1" applyBorder="1" applyAlignment="1">
      <alignment horizontal="center" vertical="center"/>
    </xf>
    <xf numFmtId="165" fontId="9" fillId="3" borderId="17" xfId="0" applyNumberFormat="1" applyFont="1" applyFill="1" applyBorder="1" applyAlignment="1">
      <alignment horizontal="center" vertical="center"/>
    </xf>
    <xf numFmtId="165" fontId="9" fillId="3" borderId="1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6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5" fontId="11" fillId="0" borderId="0" xfId="0" applyNumberFormat="1" applyFont="1"/>
    <xf numFmtId="0" fontId="4" fillId="0" borderId="0" xfId="0" applyFont="1" applyFill="1"/>
    <xf numFmtId="165" fontId="4" fillId="0" borderId="0" xfId="0" applyNumberFormat="1" applyFont="1" applyFill="1"/>
    <xf numFmtId="165" fontId="5" fillId="0" borderId="12" xfId="0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left" vertical="center"/>
    </xf>
    <xf numFmtId="164" fontId="4" fillId="0" borderId="15" xfId="0" applyNumberFormat="1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3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5" formatCode="#,##0.00\ &quot;€&quot;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5" formatCode="#,##0.00\ &quot;€&quot;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\ &quot;€&quot;"/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0" tint="-0.34998626667073579"/>
        <name val="Arial"/>
        <scheme val="none"/>
      </font>
      <numFmt numFmtId="165" formatCode="#,##0.00\ &quot;€&quot;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3" formatCode="#,##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6" formatCode="#,##0_ ;\-#,##0\ "/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B050"/>
        <name val="Arial"/>
        <scheme val="none"/>
      </font>
      <numFmt numFmtId="165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499984740745262"/>
        <name val="Arial"/>
        <scheme val="none"/>
      </font>
      <numFmt numFmtId="165" formatCode="#,##0.00\ &quot;€&quot;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4" formatCode="_-* #,##0.00\ _€_-;\-* #,##0.00\ _€_-;_-* &quot;-&quot;??\ _€_-;_-@_-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top style="medium">
          <color indexed="64"/>
        </top>
      </border>
    </dxf>
    <dxf>
      <font>
        <strike val="0"/>
        <outline val="0"/>
        <shadow val="0"/>
        <u val="none"/>
        <vertAlign val="baseline"/>
        <sz val="9"/>
        <color auto="1"/>
        <name val="Arial"/>
        <scheme val="none"/>
      </font>
      <numFmt numFmtId="167" formatCode="#.##000\ \€"/>
      <fill>
        <patternFill patternType="solid">
          <fgColor indexed="64"/>
          <bgColor theme="9" tint="0.5999938962981048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9"/>
        <name val="Arial"/>
        <scheme val="none"/>
      </font>
      <numFmt numFmtId="167" formatCode="#.##000\ \€"/>
      <alignment vertical="center" textRotation="0" wrapText="0" indent="0" justifyLastLine="0" shrinkToFit="0" readingOrder="0"/>
    </dxf>
    <dxf>
      <border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65" formatCode="#,##0.00\ &quot;€&quot;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color rgb="FFFF0000"/>
      </font>
      <fill>
        <patternFill>
          <bgColor rgb="FFFF000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_Datos17" displayName="Tabla_Datos17" ref="A2:O15" totalsRowCount="1" headerRowDxfId="31" dataDxfId="29" totalsRowDxfId="28" headerRowBorderDxfId="30" totalsRowBorderDxfId="27">
  <autoFilter ref="A2:O1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3" name="Referencias Lote 2" dataDxfId="26" totalsRowDxfId="25"/>
    <tableColumn id="4" name="Descripción del producto " dataDxfId="24" totalsRowDxfId="23"/>
    <tableColumn id="5" name="Unidad " dataDxfId="22" totalsRowDxfId="21"/>
    <tableColumn id="6" name="Licitación" dataDxfId="20" totalsRowDxfId="19"/>
    <tableColumn id="10" name="Oferta" dataDxfId="18" totalsRowDxfId="17"/>
    <tableColumn id="2" name="Control" dataDxfId="16" totalsRowDxfId="15">
      <calculatedColumnFormula>IF(Tabla_Datos17[[#This Row],[Licitación]]&gt;=Tabla_Datos17[[#This Row],[Oferta]],"ok","sup")</calculatedColumnFormula>
    </tableColumn>
    <tableColumn id="7" name="Unidades_x000a_12 meses " dataDxfId="14" totalsRowDxfId="13"/>
    <tableColumn id="8" name="Unidades_x000a_24 meses " dataDxfId="12" totalsRowDxfId="11"/>
    <tableColumn id="9" name="IVA aplicable" dataDxfId="10" totalsRowDxfId="9"/>
    <tableColumn id="12" name="Base Imponible licitacion" totalsRowFunction="sum" dataDxfId="8" totalsRowDxfId="7">
      <calculatedColumnFormula>ROUND(Tabla_Datos17[[#This Row],[Licitación]]*Tabla_Datos17[[#This Row],[Unidades
24 meses ]],2)</calculatedColumnFormula>
    </tableColumn>
    <tableColumn id="13" name="IVA licitacion" totalsRowFunction="sum" dataDxfId="6" totalsRowDxfId="5">
      <calculatedColumnFormula>ROUND(Tabla_Datos17[[#This Row],[Base Imponible licitacion]]*Tabla_Datos17[[#This Row],[IVA aplicable]],2)</calculatedColumnFormula>
    </tableColumn>
    <tableColumn id="14" name="Importe (IVA incl.) licitacion" totalsRowFunction="sum" dataDxfId="4" totalsRowDxfId="3">
      <calculatedColumnFormula>SUM(J3,K3)</calculatedColumnFormula>
    </tableColumn>
    <tableColumn id="11" name="Base imponible oferta" totalsRowFunction="sum" totalsRowDxfId="2">
      <calculatedColumnFormula>ROUND(Tabla_Datos17[[#This Row],[Oferta]]*Tabla_Datos17[[#This Row],[Unidades
24 meses ]],2)</calculatedColumnFormula>
    </tableColumn>
    <tableColumn id="15" name="IVA" totalsRowFunction="sum" totalsRowDxfId="1">
      <calculatedColumnFormula>ROUND(Tabla_Datos17[[#This Row],[Base imponible oferta]]*Tabla_Datos17[[#This Row],[IVA aplicable]],2)</calculatedColumnFormula>
    </tableColumn>
    <tableColumn id="16" name="Total oferta_x000a_(IVA incluido)" totalsRowFunction="sum" totalsRowDxfId="0">
      <calculatedColumnFormula>SUM(Tabla_Datos17[[#This Row],[Base imponible oferta]:[IVA]])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zoomScaleNormal="100" workbookViewId="0">
      <selection activeCell="M7" sqref="M7"/>
    </sheetView>
  </sheetViews>
  <sheetFormatPr baseColWidth="10" defaultColWidth="11.453125" defaultRowHeight="14" x14ac:dyDescent="0.3"/>
  <cols>
    <col min="1" max="1" width="10.7265625" style="29" customWidth="1"/>
    <col min="2" max="2" width="74.26953125" style="18" customWidth="1"/>
    <col min="3" max="3" width="13.453125" style="50" bestFit="1" customWidth="1"/>
    <col min="4" max="4" width="13.1796875" style="51" customWidth="1"/>
    <col min="5" max="5" width="13.1796875" style="52" customWidth="1"/>
    <col min="6" max="6" width="8.26953125" style="53" customWidth="1"/>
    <col min="7" max="7" width="13.1796875" style="50" hidden="1" customWidth="1"/>
    <col min="8" max="8" width="13.1796875" style="50" customWidth="1"/>
    <col min="9" max="9" width="10.7265625" style="50" customWidth="1"/>
    <col min="10" max="10" width="17.1796875" style="50" hidden="1" customWidth="1"/>
    <col min="11" max="11" width="17.1796875" style="55" hidden="1" customWidth="1"/>
    <col min="12" max="12" width="17.1796875" style="50" hidden="1" customWidth="1"/>
    <col min="13" max="15" width="15.26953125" style="54" customWidth="1"/>
    <col min="16" max="16" width="5.26953125" style="29" customWidth="1"/>
    <col min="17" max="17" width="14.26953125" style="29" customWidth="1"/>
    <col min="18" max="16384" width="11.453125" style="29"/>
  </cols>
  <sheetData>
    <row r="1" spans="1:16" s="6" customFormat="1" ht="19.5" customHeight="1" x14ac:dyDescent="0.35">
      <c r="A1" s="64"/>
      <c r="B1" s="1"/>
      <c r="C1" s="2"/>
      <c r="D1" s="65" t="s">
        <v>0</v>
      </c>
      <c r="E1" s="65"/>
      <c r="F1" s="66"/>
      <c r="G1" s="3"/>
      <c r="H1" s="4"/>
      <c r="I1" s="2"/>
      <c r="J1" s="67" t="s">
        <v>1</v>
      </c>
      <c r="K1" s="68"/>
      <c r="L1" s="69"/>
      <c r="M1" s="70" t="s">
        <v>2</v>
      </c>
      <c r="N1" s="65"/>
      <c r="O1" s="71"/>
      <c r="P1" s="5"/>
    </row>
    <row r="2" spans="1:16" s="18" customFormat="1" ht="25.5" thickBot="1" x14ac:dyDescent="0.35">
      <c r="A2" s="59" t="s">
        <v>43</v>
      </c>
      <c r="B2" s="7" t="s">
        <v>3</v>
      </c>
      <c r="C2" s="8" t="s">
        <v>4</v>
      </c>
      <c r="D2" s="9" t="s">
        <v>5</v>
      </c>
      <c r="E2" s="9" t="s">
        <v>6</v>
      </c>
      <c r="F2" s="10" t="s">
        <v>7</v>
      </c>
      <c r="G2" s="11" t="s">
        <v>8</v>
      </c>
      <c r="H2" s="12" t="s">
        <v>9</v>
      </c>
      <c r="I2" s="8" t="s">
        <v>10</v>
      </c>
      <c r="J2" s="13" t="s">
        <v>11</v>
      </c>
      <c r="K2" s="14" t="s">
        <v>12</v>
      </c>
      <c r="L2" s="15" t="s">
        <v>13</v>
      </c>
      <c r="M2" s="16" t="s">
        <v>14</v>
      </c>
      <c r="N2" s="17" t="s">
        <v>15</v>
      </c>
      <c r="O2" s="8" t="s">
        <v>16</v>
      </c>
    </row>
    <row r="3" spans="1:16" ht="24" customHeight="1" x14ac:dyDescent="0.3">
      <c r="A3" s="60" t="s">
        <v>31</v>
      </c>
      <c r="B3" s="19" t="s">
        <v>19</v>
      </c>
      <c r="C3" s="62" t="s">
        <v>17</v>
      </c>
      <c r="D3" s="20">
        <v>0.84</v>
      </c>
      <c r="E3" s="57"/>
      <c r="F3" s="21" t="str">
        <f>IF(Tabla_Datos17[[#This Row],[Licitación]]&gt;=Tabla_Datos17[[#This Row],[Oferta]],"ok","sup")</f>
        <v>ok</v>
      </c>
      <c r="G3" s="22">
        <v>136581</v>
      </c>
      <c r="H3" s="23">
        <v>263580</v>
      </c>
      <c r="I3" s="24">
        <v>0.21</v>
      </c>
      <c r="J3" s="25">
        <f>ROUND(Tabla_Datos17[[#This Row],[Licitación]]*Tabla_Datos17[[#This Row],[Unidades
24 meses ]],2)</f>
        <v>221407.2</v>
      </c>
      <c r="K3" s="25">
        <f>ROUND(Tabla_Datos17[[#This Row],[Base Imponible licitacion]]*Tabla_Datos17[[#This Row],[IVA aplicable]],2)</f>
        <v>46495.51</v>
      </c>
      <c r="L3" s="26">
        <f t="shared" ref="L3:L14" si="0">SUM(J3,K3)</f>
        <v>267902.71000000002</v>
      </c>
      <c r="M3" s="27">
        <f>ROUND(Tabla_Datos17[[#This Row],[Oferta]]*Tabla_Datos17[[#This Row],[Unidades
24 meses ]],2)</f>
        <v>0</v>
      </c>
      <c r="N3" s="27">
        <f>ROUND(Tabla_Datos17[[#This Row],[Base imponible oferta]]*Tabla_Datos17[[#This Row],[IVA aplicable]],2)</f>
        <v>0</v>
      </c>
      <c r="O3" s="28">
        <f>SUM(Tabla_Datos17[[#This Row],[Base imponible oferta]:[IVA]])</f>
        <v>0</v>
      </c>
    </row>
    <row r="4" spans="1:16" ht="24" customHeight="1" x14ac:dyDescent="0.3">
      <c r="A4" s="60" t="s">
        <v>32</v>
      </c>
      <c r="B4" s="30" t="s">
        <v>20</v>
      </c>
      <c r="C4" s="63" t="s">
        <v>17</v>
      </c>
      <c r="D4" s="31">
        <v>0.9</v>
      </c>
      <c r="E4" s="58"/>
      <c r="F4" s="32" t="str">
        <f>IF(Tabla_Datos17[[#This Row],[Licitación]]&gt;=Tabla_Datos17[[#This Row],[Oferta]],"ok","sup")</f>
        <v>ok</v>
      </c>
      <c r="G4" s="33">
        <v>3213</v>
      </c>
      <c r="H4" s="34">
        <v>291200</v>
      </c>
      <c r="I4" s="35">
        <v>0.21</v>
      </c>
      <c r="J4" s="36">
        <f>ROUND(Tabla_Datos17[[#This Row],[Licitación]]*Tabla_Datos17[[#This Row],[Unidades
24 meses ]],2)</f>
        <v>262080</v>
      </c>
      <c r="K4" s="36">
        <f>ROUND(Tabla_Datos17[[#This Row],[Base Imponible licitacion]]*Tabla_Datos17[[#This Row],[IVA aplicable]],2)</f>
        <v>55036.800000000003</v>
      </c>
      <c r="L4" s="37">
        <f t="shared" si="0"/>
        <v>317116.79999999999</v>
      </c>
      <c r="M4" s="38">
        <f>ROUND(Tabla_Datos17[[#This Row],[Oferta]]*Tabla_Datos17[[#This Row],[Unidades
24 meses ]],2)</f>
        <v>0</v>
      </c>
      <c r="N4" s="38">
        <f>ROUND(Tabla_Datos17[[#This Row],[Base imponible oferta]]*Tabla_Datos17[[#This Row],[IVA aplicable]],2)</f>
        <v>0</v>
      </c>
      <c r="O4" s="39">
        <f>SUM(Tabla_Datos17[[#This Row],[Base imponible oferta]:[IVA]])</f>
        <v>0</v>
      </c>
    </row>
    <row r="5" spans="1:16" ht="24" customHeight="1" x14ac:dyDescent="0.3">
      <c r="A5" s="60" t="s">
        <v>33</v>
      </c>
      <c r="B5" s="30" t="s">
        <v>21</v>
      </c>
      <c r="C5" s="63" t="s">
        <v>18</v>
      </c>
      <c r="D5" s="31">
        <v>1.57</v>
      </c>
      <c r="E5" s="58"/>
      <c r="F5" s="32" t="str">
        <f>IF(Tabla_Datos17[[#This Row],[Licitación]]&gt;=Tabla_Datos17[[#This Row],[Oferta]],"ok","sup")</f>
        <v>ok</v>
      </c>
      <c r="G5" s="33">
        <v>648</v>
      </c>
      <c r="H5" s="34">
        <v>840</v>
      </c>
      <c r="I5" s="35">
        <v>0.21</v>
      </c>
      <c r="J5" s="36">
        <f>ROUND(Tabla_Datos17[[#This Row],[Licitación]]*Tabla_Datos17[[#This Row],[Unidades
24 meses ]],2)</f>
        <v>1318.8</v>
      </c>
      <c r="K5" s="36">
        <f>ROUND(Tabla_Datos17[[#This Row],[Base Imponible licitacion]]*Tabla_Datos17[[#This Row],[IVA aplicable]],2)</f>
        <v>276.95</v>
      </c>
      <c r="L5" s="37">
        <f t="shared" si="0"/>
        <v>1595.75</v>
      </c>
      <c r="M5" s="38">
        <f>ROUND(Tabla_Datos17[[#This Row],[Oferta]]*Tabla_Datos17[[#This Row],[Unidades
24 meses ]],2)</f>
        <v>0</v>
      </c>
      <c r="N5" s="38">
        <f>ROUND(Tabla_Datos17[[#This Row],[Base imponible oferta]]*Tabla_Datos17[[#This Row],[IVA aplicable]],2)</f>
        <v>0</v>
      </c>
      <c r="O5" s="39">
        <f>SUM(Tabla_Datos17[[#This Row],[Base imponible oferta]:[IVA]])</f>
        <v>0</v>
      </c>
    </row>
    <row r="6" spans="1:16" ht="24" customHeight="1" x14ac:dyDescent="0.3">
      <c r="A6" s="60" t="s">
        <v>34</v>
      </c>
      <c r="B6" s="30" t="s">
        <v>22</v>
      </c>
      <c r="C6" s="63" t="s">
        <v>18</v>
      </c>
      <c r="D6" s="31">
        <v>0.77</v>
      </c>
      <c r="E6" s="58"/>
      <c r="F6" s="32" t="str">
        <f>IF(Tabla_Datos17[[#This Row],[Licitación]]&gt;=Tabla_Datos17[[#This Row],[Oferta]],"ok","sup")</f>
        <v>ok</v>
      </c>
      <c r="G6" s="33">
        <v>135739</v>
      </c>
      <c r="H6" s="34">
        <v>32280</v>
      </c>
      <c r="I6" s="35">
        <v>0.21</v>
      </c>
      <c r="J6" s="36">
        <f>ROUND(Tabla_Datos17[[#This Row],[Licitación]]*Tabla_Datos17[[#This Row],[Unidades
24 meses ]],2)</f>
        <v>24855.599999999999</v>
      </c>
      <c r="K6" s="36">
        <f>ROUND(Tabla_Datos17[[#This Row],[Base Imponible licitacion]]*Tabla_Datos17[[#This Row],[IVA aplicable]],2)</f>
        <v>5219.68</v>
      </c>
      <c r="L6" s="37">
        <f t="shared" si="0"/>
        <v>30075.279999999999</v>
      </c>
      <c r="M6" s="38">
        <f>ROUND(Tabla_Datos17[[#This Row],[Oferta]]*Tabla_Datos17[[#This Row],[Unidades
24 meses ]],2)</f>
        <v>0</v>
      </c>
      <c r="N6" s="38">
        <f>ROUND(Tabla_Datos17[[#This Row],[Base imponible oferta]]*Tabla_Datos17[[#This Row],[IVA aplicable]],2)</f>
        <v>0</v>
      </c>
      <c r="O6" s="39">
        <f>SUM(Tabla_Datos17[[#This Row],[Base imponible oferta]:[IVA]])</f>
        <v>0</v>
      </c>
    </row>
    <row r="7" spans="1:16" ht="24" customHeight="1" x14ac:dyDescent="0.3">
      <c r="A7" s="60" t="s">
        <v>35</v>
      </c>
      <c r="B7" s="30" t="s">
        <v>23</v>
      </c>
      <c r="C7" s="63" t="s">
        <v>18</v>
      </c>
      <c r="D7" s="31">
        <v>0.48</v>
      </c>
      <c r="E7" s="58"/>
      <c r="F7" s="32" t="str">
        <f>IF(Tabla_Datos17[[#This Row],[Licitación]]&gt;=Tabla_Datos17[[#This Row],[Oferta]],"ok","sup")</f>
        <v>ok</v>
      </c>
      <c r="G7" s="33">
        <v>16956</v>
      </c>
      <c r="H7" s="34">
        <v>182490</v>
      </c>
      <c r="I7" s="35">
        <v>0.21</v>
      </c>
      <c r="J7" s="36">
        <f>ROUND(Tabla_Datos17[[#This Row],[Licitación]]*Tabla_Datos17[[#This Row],[Unidades
24 meses ]],2)</f>
        <v>87595.199999999997</v>
      </c>
      <c r="K7" s="36">
        <f>ROUND(Tabla_Datos17[[#This Row],[Base Imponible licitacion]]*Tabla_Datos17[[#This Row],[IVA aplicable]],2)</f>
        <v>18394.990000000002</v>
      </c>
      <c r="L7" s="37">
        <f t="shared" si="0"/>
        <v>105990.19</v>
      </c>
      <c r="M7" s="38">
        <f>ROUND(Tabla_Datos17[[#This Row],[Oferta]]*Tabla_Datos17[[#This Row],[Unidades
24 meses ]],2)</f>
        <v>0</v>
      </c>
      <c r="N7" s="38">
        <f>ROUND(Tabla_Datos17[[#This Row],[Base imponible oferta]]*Tabla_Datos17[[#This Row],[IVA aplicable]],2)</f>
        <v>0</v>
      </c>
      <c r="O7" s="39">
        <f>SUM(Tabla_Datos17[[#This Row],[Base imponible oferta]:[IVA]])</f>
        <v>0</v>
      </c>
    </row>
    <row r="8" spans="1:16" ht="24" customHeight="1" x14ac:dyDescent="0.3">
      <c r="A8" s="60" t="s">
        <v>36</v>
      </c>
      <c r="B8" s="30" t="s">
        <v>24</v>
      </c>
      <c r="C8" s="63" t="s">
        <v>18</v>
      </c>
      <c r="D8" s="31">
        <v>0.44</v>
      </c>
      <c r="E8" s="58"/>
      <c r="F8" s="32" t="str">
        <f>IF(Tabla_Datos17[[#This Row],[Licitación]]&gt;=Tabla_Datos17[[#This Row],[Oferta]],"ok","sup")</f>
        <v>ok</v>
      </c>
      <c r="G8" s="33">
        <v>2313</v>
      </c>
      <c r="H8" s="34">
        <v>148940</v>
      </c>
      <c r="I8" s="35">
        <v>0.21</v>
      </c>
      <c r="J8" s="36">
        <f>ROUND(Tabla_Datos17[[#This Row],[Licitación]]*Tabla_Datos17[[#This Row],[Unidades
24 meses ]],2)</f>
        <v>65533.599999999999</v>
      </c>
      <c r="K8" s="36">
        <f>ROUND(Tabla_Datos17[[#This Row],[Base Imponible licitacion]]*Tabla_Datos17[[#This Row],[IVA aplicable]],2)</f>
        <v>13762.06</v>
      </c>
      <c r="L8" s="37">
        <f t="shared" si="0"/>
        <v>79295.66</v>
      </c>
      <c r="M8" s="38">
        <f>ROUND(Tabla_Datos17[[#This Row],[Oferta]]*Tabla_Datos17[[#This Row],[Unidades
24 meses ]],2)</f>
        <v>0</v>
      </c>
      <c r="N8" s="38">
        <f>ROUND(Tabla_Datos17[[#This Row],[Base imponible oferta]]*Tabla_Datos17[[#This Row],[IVA aplicable]],2)</f>
        <v>0</v>
      </c>
      <c r="O8" s="39">
        <f>SUM(Tabla_Datos17[[#This Row],[Base imponible oferta]:[IVA]])</f>
        <v>0</v>
      </c>
    </row>
    <row r="9" spans="1:16" ht="24" customHeight="1" x14ac:dyDescent="0.3">
      <c r="A9" s="60" t="s">
        <v>37</v>
      </c>
      <c r="B9" s="30" t="s">
        <v>25</v>
      </c>
      <c r="C9" s="63" t="s">
        <v>17</v>
      </c>
      <c r="D9" s="31">
        <v>2.02</v>
      </c>
      <c r="E9" s="58"/>
      <c r="F9" s="32" t="str">
        <f>IF(Tabla_Datos17[[#This Row],[Licitación]]&gt;=Tabla_Datos17[[#This Row],[Oferta]],"ok","sup")</f>
        <v>ok</v>
      </c>
      <c r="G9" s="33">
        <v>500</v>
      </c>
      <c r="H9" s="34">
        <v>344260</v>
      </c>
      <c r="I9" s="35">
        <v>0.21</v>
      </c>
      <c r="J9" s="36">
        <f>ROUND(Tabla_Datos17[[#This Row],[Licitación]]*Tabla_Datos17[[#This Row],[Unidades
24 meses ]],2)</f>
        <v>695405.2</v>
      </c>
      <c r="K9" s="36">
        <f>ROUND(Tabla_Datos17[[#This Row],[Base Imponible licitacion]]*Tabla_Datos17[[#This Row],[IVA aplicable]],2)</f>
        <v>146035.09</v>
      </c>
      <c r="L9" s="37">
        <f t="shared" si="0"/>
        <v>841440.28999999992</v>
      </c>
      <c r="M9" s="38">
        <f>ROUND(Tabla_Datos17[[#This Row],[Oferta]]*Tabla_Datos17[[#This Row],[Unidades
24 meses ]],2)</f>
        <v>0</v>
      </c>
      <c r="N9" s="38">
        <f>ROUND(Tabla_Datos17[[#This Row],[Base imponible oferta]]*Tabla_Datos17[[#This Row],[IVA aplicable]],2)</f>
        <v>0</v>
      </c>
      <c r="O9" s="39">
        <f>SUM(Tabla_Datos17[[#This Row],[Base imponible oferta]:[IVA]])</f>
        <v>0</v>
      </c>
    </row>
    <row r="10" spans="1:16" ht="24" customHeight="1" x14ac:dyDescent="0.3">
      <c r="A10" s="60" t="s">
        <v>38</v>
      </c>
      <c r="B10" s="30" t="s">
        <v>26</v>
      </c>
      <c r="C10" s="63" t="s">
        <v>18</v>
      </c>
      <c r="D10" s="31">
        <v>1.62</v>
      </c>
      <c r="E10" s="58"/>
      <c r="F10" s="32" t="str">
        <f>IF(Tabla_Datos17[[#This Row],[Licitación]]&gt;=Tabla_Datos17[[#This Row],[Oferta]],"ok","sup")</f>
        <v>ok</v>
      </c>
      <c r="G10" s="33">
        <v>16140</v>
      </c>
      <c r="H10" s="34">
        <v>164360</v>
      </c>
      <c r="I10" s="35">
        <v>0.21</v>
      </c>
      <c r="J10" s="36">
        <f>ROUND(Tabla_Datos17[[#This Row],[Licitación]]*Tabla_Datos17[[#This Row],[Unidades
24 meses ]],2)</f>
        <v>266263.2</v>
      </c>
      <c r="K10" s="36">
        <f>ROUND(Tabla_Datos17[[#This Row],[Base Imponible licitacion]]*Tabla_Datos17[[#This Row],[IVA aplicable]],2)</f>
        <v>55915.27</v>
      </c>
      <c r="L10" s="37">
        <f t="shared" si="0"/>
        <v>322178.47000000003</v>
      </c>
      <c r="M10" s="38">
        <f>ROUND(Tabla_Datos17[[#This Row],[Oferta]]*Tabla_Datos17[[#This Row],[Unidades
24 meses ]],2)</f>
        <v>0</v>
      </c>
      <c r="N10" s="38">
        <f>ROUND(Tabla_Datos17[[#This Row],[Base imponible oferta]]*Tabla_Datos17[[#This Row],[IVA aplicable]],2)</f>
        <v>0</v>
      </c>
      <c r="O10" s="39">
        <f>SUM(Tabla_Datos17[[#This Row],[Base imponible oferta]:[IVA]])</f>
        <v>0</v>
      </c>
    </row>
    <row r="11" spans="1:16" ht="24" customHeight="1" x14ac:dyDescent="0.3">
      <c r="A11" s="60" t="s">
        <v>39</v>
      </c>
      <c r="B11" s="30" t="s">
        <v>27</v>
      </c>
      <c r="C11" s="63" t="s">
        <v>18</v>
      </c>
      <c r="D11" s="31">
        <v>0.54</v>
      </c>
      <c r="E11" s="58"/>
      <c r="F11" s="32" t="str">
        <f>IF(Tabla_Datos17[[#This Row],[Licitación]]&gt;=Tabla_Datos17[[#This Row],[Oferta]],"ok","sup")</f>
        <v>ok</v>
      </c>
      <c r="G11" s="33">
        <v>540</v>
      </c>
      <c r="H11" s="34">
        <v>31320</v>
      </c>
      <c r="I11" s="35">
        <v>0.21</v>
      </c>
      <c r="J11" s="36">
        <f>ROUND(Tabla_Datos17[[#This Row],[Licitación]]*Tabla_Datos17[[#This Row],[Unidades
24 meses ]],2)</f>
        <v>16912.8</v>
      </c>
      <c r="K11" s="36">
        <f>ROUND(Tabla_Datos17[[#This Row],[Base Imponible licitacion]]*Tabla_Datos17[[#This Row],[IVA aplicable]],2)</f>
        <v>3551.69</v>
      </c>
      <c r="L11" s="37">
        <f t="shared" si="0"/>
        <v>20464.489999999998</v>
      </c>
      <c r="M11" s="38">
        <f>ROUND(Tabla_Datos17[[#This Row],[Oferta]]*Tabla_Datos17[[#This Row],[Unidades
24 meses ]],2)</f>
        <v>0</v>
      </c>
      <c r="N11" s="38">
        <f>ROUND(Tabla_Datos17[[#This Row],[Base imponible oferta]]*Tabla_Datos17[[#This Row],[IVA aplicable]],2)</f>
        <v>0</v>
      </c>
      <c r="O11" s="39">
        <f>SUM(Tabla_Datos17[[#This Row],[Base imponible oferta]:[IVA]])</f>
        <v>0</v>
      </c>
    </row>
    <row r="12" spans="1:16" ht="24" customHeight="1" x14ac:dyDescent="0.3">
      <c r="A12" s="60" t="s">
        <v>40</v>
      </c>
      <c r="B12" s="30" t="s">
        <v>28</v>
      </c>
      <c r="C12" s="63" t="s">
        <v>17</v>
      </c>
      <c r="D12" s="31">
        <v>3.96</v>
      </c>
      <c r="E12" s="58"/>
      <c r="F12" s="32" t="str">
        <f>IF(Tabla_Datos17[[#This Row],[Licitación]]&gt;=Tabla_Datos17[[#This Row],[Oferta]],"ok","sup")</f>
        <v>ok</v>
      </c>
      <c r="G12" s="33">
        <v>98708</v>
      </c>
      <c r="H12" s="34">
        <v>2240</v>
      </c>
      <c r="I12" s="35">
        <v>0.21</v>
      </c>
      <c r="J12" s="36">
        <f>ROUND(Tabla_Datos17[[#This Row],[Licitación]]*Tabla_Datos17[[#This Row],[Unidades
24 meses ]],2)</f>
        <v>8870.4</v>
      </c>
      <c r="K12" s="36">
        <f>ROUND(Tabla_Datos17[[#This Row],[Base Imponible licitacion]]*Tabla_Datos17[[#This Row],[IVA aplicable]],2)</f>
        <v>1862.78</v>
      </c>
      <c r="L12" s="37">
        <f t="shared" si="0"/>
        <v>10733.18</v>
      </c>
      <c r="M12" s="38">
        <f>ROUND(Tabla_Datos17[[#This Row],[Oferta]]*Tabla_Datos17[[#This Row],[Unidades
24 meses ]],2)</f>
        <v>0</v>
      </c>
      <c r="N12" s="38">
        <f>ROUND(Tabla_Datos17[[#This Row],[Base imponible oferta]]*Tabla_Datos17[[#This Row],[IVA aplicable]],2)</f>
        <v>0</v>
      </c>
      <c r="O12" s="39">
        <f>SUM(Tabla_Datos17[[#This Row],[Base imponible oferta]:[IVA]])</f>
        <v>0</v>
      </c>
    </row>
    <row r="13" spans="1:16" ht="24" customHeight="1" x14ac:dyDescent="0.3">
      <c r="A13" s="60" t="s">
        <v>41</v>
      </c>
      <c r="B13" s="30" t="s">
        <v>29</v>
      </c>
      <c r="C13" s="63" t="s">
        <v>17</v>
      </c>
      <c r="D13" s="31">
        <v>6.74</v>
      </c>
      <c r="E13" s="58"/>
      <c r="F13" s="32" t="str">
        <f>IF(Tabla_Datos17[[#This Row],[Licitación]]&gt;=Tabla_Datos17[[#This Row],[Oferta]],"ok","sup")</f>
        <v>ok</v>
      </c>
      <c r="G13" s="33">
        <v>880</v>
      </c>
      <c r="H13" s="34">
        <v>1700</v>
      </c>
      <c r="I13" s="35">
        <v>0.21</v>
      </c>
      <c r="J13" s="36">
        <f>ROUND(Tabla_Datos17[[#This Row],[Licitación]]*Tabla_Datos17[[#This Row],[Unidades
24 meses ]],2)</f>
        <v>11458</v>
      </c>
      <c r="K13" s="36">
        <f>ROUND(Tabla_Datos17[[#This Row],[Base Imponible licitacion]]*Tabla_Datos17[[#This Row],[IVA aplicable]],2)</f>
        <v>2406.1799999999998</v>
      </c>
      <c r="L13" s="37">
        <f t="shared" si="0"/>
        <v>13864.18</v>
      </c>
      <c r="M13" s="38">
        <f>ROUND(Tabla_Datos17[[#This Row],[Oferta]]*Tabla_Datos17[[#This Row],[Unidades
24 meses ]],2)</f>
        <v>0</v>
      </c>
      <c r="N13" s="38">
        <f>ROUND(Tabla_Datos17[[#This Row],[Base imponible oferta]]*Tabla_Datos17[[#This Row],[IVA aplicable]],2)</f>
        <v>0</v>
      </c>
      <c r="O13" s="39">
        <f>SUM(Tabla_Datos17[[#This Row],[Base imponible oferta]:[IVA]])</f>
        <v>0</v>
      </c>
    </row>
    <row r="14" spans="1:16" ht="24" customHeight="1" thickBot="1" x14ac:dyDescent="0.35">
      <c r="A14" s="60" t="s">
        <v>42</v>
      </c>
      <c r="B14" s="30" t="s">
        <v>30</v>
      </c>
      <c r="C14" s="63" t="s">
        <v>18</v>
      </c>
      <c r="D14" s="31">
        <v>5.0999999999999996</v>
      </c>
      <c r="E14" s="58"/>
      <c r="F14" s="32" t="str">
        <f>IF(Tabla_Datos17[[#This Row],[Licitación]]&gt;=Tabla_Datos17[[#This Row],[Oferta]],"ok","sup")</f>
        <v>ok</v>
      </c>
      <c r="G14" s="33">
        <v>75797</v>
      </c>
      <c r="H14" s="34">
        <v>2400</v>
      </c>
      <c r="I14" s="35">
        <v>0.21</v>
      </c>
      <c r="J14" s="36">
        <f>ROUND(Tabla_Datos17[[#This Row],[Licitación]]*Tabla_Datos17[[#This Row],[Unidades
24 meses ]],2)</f>
        <v>12240</v>
      </c>
      <c r="K14" s="36">
        <f>ROUND(Tabla_Datos17[[#This Row],[Base Imponible licitacion]]*Tabla_Datos17[[#This Row],[IVA aplicable]],2)</f>
        <v>2570.4</v>
      </c>
      <c r="L14" s="37">
        <f t="shared" si="0"/>
        <v>14810.4</v>
      </c>
      <c r="M14" s="38">
        <f>ROUND(Tabla_Datos17[[#This Row],[Oferta]]*Tabla_Datos17[[#This Row],[Unidades
24 meses ]],2)</f>
        <v>0</v>
      </c>
      <c r="N14" s="38">
        <f>ROUND(Tabla_Datos17[[#This Row],[Base imponible oferta]]*Tabla_Datos17[[#This Row],[IVA aplicable]],2)</f>
        <v>0</v>
      </c>
      <c r="O14" s="39">
        <f>SUM(Tabla_Datos17[[#This Row],[Base imponible oferta]:[IVA]])</f>
        <v>0</v>
      </c>
    </row>
    <row r="15" spans="1:16" s="49" customFormat="1" ht="24" customHeight="1" thickBot="1" x14ac:dyDescent="0.4">
      <c r="A15" s="61"/>
      <c r="B15" s="40"/>
      <c r="C15" s="41"/>
      <c r="D15" s="41"/>
      <c r="E15" s="42"/>
      <c r="F15" s="41"/>
      <c r="G15" s="41"/>
      <c r="H15" s="41"/>
      <c r="I15" s="41"/>
      <c r="J15" s="43">
        <f>SUBTOTAL(109,Tabla_Datos17[Base Imponible licitacion])</f>
        <v>1673939.9999999998</v>
      </c>
      <c r="K15" s="44">
        <f>SUBTOTAL(109,Tabla_Datos17[IVA licitacion])</f>
        <v>351527.40000000008</v>
      </c>
      <c r="L15" s="45">
        <f>SUBTOTAL(109,Tabla_Datos17[Importe (IVA incl.) licitacion])</f>
        <v>2025467.3999999997</v>
      </c>
      <c r="M15" s="46">
        <f>SUBTOTAL(109,Tabla_Datos17[Base imponible oferta])</f>
        <v>0</v>
      </c>
      <c r="N15" s="47">
        <f>SUBTOTAL(109,Tabla_Datos17[IVA])</f>
        <v>0</v>
      </c>
      <c r="O15" s="48">
        <f>SUBTOTAL(109,Tabla_Datos17[Total oferta
(IVA incluido)])</f>
        <v>0</v>
      </c>
    </row>
    <row r="16" spans="1:16" x14ac:dyDescent="0.3">
      <c r="I16" s="54"/>
    </row>
    <row r="17" spans="1:16" s="54" customFormat="1" x14ac:dyDescent="0.3">
      <c r="A17" s="29"/>
      <c r="B17" s="18"/>
      <c r="C17" s="50"/>
      <c r="D17" s="51"/>
      <c r="E17" s="52"/>
      <c r="F17" s="53"/>
      <c r="G17" s="50"/>
      <c r="H17" s="50"/>
      <c r="K17" s="56"/>
      <c r="P17" s="29"/>
    </row>
    <row r="19" spans="1:16" s="54" customFormat="1" x14ac:dyDescent="0.3">
      <c r="A19" s="29"/>
      <c r="B19" s="18"/>
      <c r="C19" s="50"/>
      <c r="D19" s="51"/>
      <c r="E19" s="52"/>
      <c r="F19" s="53"/>
      <c r="G19" s="50"/>
      <c r="H19" s="50"/>
      <c r="I19" s="50"/>
      <c r="K19" s="56"/>
      <c r="P19" s="29"/>
    </row>
    <row r="21" spans="1:16" s="54" customFormat="1" x14ac:dyDescent="0.3">
      <c r="A21" s="29"/>
      <c r="B21" s="18"/>
      <c r="C21" s="50"/>
      <c r="D21" s="51"/>
      <c r="E21" s="52"/>
      <c r="F21" s="53"/>
      <c r="G21" s="50"/>
      <c r="H21" s="50"/>
      <c r="I21" s="50"/>
      <c r="K21" s="56"/>
      <c r="P21" s="29"/>
    </row>
  </sheetData>
  <sheetProtection algorithmName="SHA-512" hashValue="jJWxjGs19sVg5nTwwTcEdmHQwkeKJo1dOdzqta/MEQvCPJ9z1VcdluM1kUdrowLaO4v+9D55IhsLAnMGD2h+BA==" saltValue="wTfzYR/ki80dsEF9i9ovWw==" spinCount="100000" sheet="1" objects="1" scenarios="1"/>
  <mergeCells count="3">
    <mergeCell ref="D1:F1"/>
    <mergeCell ref="J1:L1"/>
    <mergeCell ref="M1:O1"/>
  </mergeCells>
  <conditionalFormatting sqref="C3:C13 J3:J14 L3:L14 K2:K14">
    <cfRule type="cellIs" dxfId="36" priority="5" operator="equal">
      <formula>0</formula>
    </cfRule>
  </conditionalFormatting>
  <conditionalFormatting sqref="C14">
    <cfRule type="cellIs" dxfId="35" priority="4" operator="equal">
      <formula>0</formula>
    </cfRule>
  </conditionalFormatting>
  <conditionalFormatting sqref="M2:O1048576">
    <cfRule type="cellIs" dxfId="34" priority="3" operator="equal">
      <formula>0</formula>
    </cfRule>
  </conditionalFormatting>
  <conditionalFormatting sqref="F3:F14">
    <cfRule type="cellIs" dxfId="33" priority="1" operator="equal">
      <formula>"ok"</formula>
    </cfRule>
    <cfRule type="cellIs" dxfId="32" priority="2" operator="equal">
      <formula>"sup"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8" fitToHeight="0" orientation="landscape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2</vt:lpstr>
      <vt:lpstr>'Lote 2'!Área_de_impresión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Madrid Digital</cp:lastModifiedBy>
  <dcterms:created xsi:type="dcterms:W3CDTF">2022-11-24T11:45:45Z</dcterms:created>
  <dcterms:modified xsi:type="dcterms:W3CDTF">2023-07-17T09:26:14Z</dcterms:modified>
</cp:coreProperties>
</file>