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5AF4A6A5-897D-430F-A2D0-659128E55053}" xr6:coauthVersionLast="47" xr6:coauthVersionMax="47" xr10:uidLastSave="{00000000-0000-0000-0000-000000000000}"/>
  <bookViews>
    <workbookView xWindow="252" yWindow="0" windowWidth="11592" windowHeight="12240" xr2:uid="{58794A24-0203-4B99-BA09-01ACD327FD88}"/>
  </bookViews>
  <sheets>
    <sheet name="IO_23-017P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5" i="1" l="1"/>
  <c r="G145" i="1" s="1"/>
  <c r="F144" i="1"/>
  <c r="G144" i="1" s="1"/>
  <c r="F143" i="1"/>
  <c r="F139" i="1"/>
  <c r="G139" i="1" s="1"/>
  <c r="F138" i="1"/>
  <c r="G138" i="1" s="1"/>
  <c r="F137" i="1"/>
  <c r="F136" i="1"/>
  <c r="F130" i="1"/>
  <c r="G130" i="1" s="1"/>
  <c r="F129" i="1"/>
  <c r="G129" i="1" s="1"/>
  <c r="F128" i="1"/>
  <c r="G128" i="1" s="1"/>
  <c r="F124" i="1"/>
  <c r="G124" i="1" s="1"/>
  <c r="F123" i="1"/>
  <c r="G123" i="1" s="1"/>
  <c r="F122" i="1"/>
  <c r="G122" i="1" s="1"/>
  <c r="F121" i="1"/>
  <c r="G121" i="1" s="1"/>
  <c r="F117" i="1"/>
  <c r="F116" i="1"/>
  <c r="F115" i="1"/>
  <c r="F114" i="1"/>
  <c r="G114" i="1" s="1"/>
  <c r="F113" i="1"/>
  <c r="G113" i="1" s="1"/>
  <c r="F112" i="1"/>
  <c r="F111" i="1"/>
  <c r="G111" i="1" s="1"/>
  <c r="F110" i="1"/>
  <c r="G110" i="1" s="1"/>
  <c r="F106" i="1"/>
  <c r="G106" i="1" s="1"/>
  <c r="F105" i="1"/>
  <c r="F101" i="1"/>
  <c r="G101" i="1" s="1"/>
  <c r="F100" i="1"/>
  <c r="G100" i="1" s="1"/>
  <c r="F95" i="1"/>
  <c r="F94" i="1"/>
  <c r="F93" i="1"/>
  <c r="G93" i="1" s="1"/>
  <c r="F92" i="1"/>
  <c r="G92" i="1" s="1"/>
  <c r="F91" i="1"/>
  <c r="G91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F80" i="1"/>
  <c r="G80" i="1" s="1"/>
  <c r="F79" i="1"/>
  <c r="G79" i="1" s="1"/>
  <c r="F78" i="1"/>
  <c r="G78" i="1" s="1"/>
  <c r="F77" i="1"/>
  <c r="G77" i="1" s="1"/>
  <c r="F70" i="1"/>
  <c r="F69" i="1"/>
  <c r="F68" i="1"/>
  <c r="G68" i="1" s="1"/>
  <c r="F64" i="1"/>
  <c r="G64" i="1" s="1"/>
  <c r="F63" i="1"/>
  <c r="G63" i="1" s="1"/>
  <c r="F62" i="1"/>
  <c r="G62" i="1" s="1"/>
  <c r="F61" i="1"/>
  <c r="G61" i="1" s="1"/>
  <c r="F55" i="1"/>
  <c r="G55" i="1" s="1"/>
  <c r="F54" i="1"/>
  <c r="G54" i="1" s="1"/>
  <c r="F50" i="1"/>
  <c r="F49" i="1"/>
  <c r="G49" i="1" s="1"/>
  <c r="F48" i="1"/>
  <c r="G48" i="1" s="1"/>
  <c r="F44" i="1"/>
  <c r="G44" i="1" s="1"/>
  <c r="F43" i="1"/>
  <c r="G43" i="1" s="1"/>
  <c r="F42" i="1"/>
  <c r="G42" i="1" s="1"/>
  <c r="F41" i="1"/>
  <c r="F40" i="1"/>
  <c r="G40" i="1" s="1"/>
  <c r="F39" i="1"/>
  <c r="G39" i="1" s="1"/>
  <c r="F38" i="1"/>
  <c r="G38" i="1" s="1"/>
  <c r="F34" i="1"/>
  <c r="G34" i="1" s="1"/>
  <c r="F33" i="1"/>
  <c r="G33" i="1" s="1"/>
  <c r="F29" i="1"/>
  <c r="F28" i="1"/>
  <c r="G28" i="1" s="1"/>
  <c r="F23" i="1"/>
  <c r="G23" i="1" s="1"/>
  <c r="F22" i="1"/>
  <c r="F21" i="1"/>
  <c r="F20" i="1"/>
  <c r="G20" i="1" s="1"/>
  <c r="F19" i="1"/>
  <c r="G19" i="1" s="1"/>
  <c r="F15" i="1"/>
  <c r="G15" i="1" s="1"/>
  <c r="F14" i="1"/>
  <c r="G14" i="1" s="1"/>
  <c r="F13" i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H150" i="1"/>
  <c r="E150" i="1"/>
  <c r="J151" i="1"/>
  <c r="I152" i="1" s="1"/>
  <c r="G151" i="1"/>
  <c r="F152" i="1" s="1"/>
  <c r="F150" i="1" s="1"/>
  <c r="H75" i="1"/>
  <c r="E75" i="1"/>
  <c r="H142" i="1"/>
  <c r="E142" i="1"/>
  <c r="J145" i="1"/>
  <c r="J144" i="1"/>
  <c r="J143" i="1"/>
  <c r="G143" i="1"/>
  <c r="H135" i="1"/>
  <c r="E135" i="1"/>
  <c r="J139" i="1"/>
  <c r="J138" i="1"/>
  <c r="J137" i="1"/>
  <c r="G137" i="1"/>
  <c r="J136" i="1"/>
  <c r="G136" i="1"/>
  <c r="H98" i="1"/>
  <c r="E98" i="1"/>
  <c r="H127" i="1"/>
  <c r="E127" i="1"/>
  <c r="J130" i="1"/>
  <c r="J129" i="1"/>
  <c r="J128" i="1"/>
  <c r="H120" i="1"/>
  <c r="E120" i="1"/>
  <c r="J124" i="1"/>
  <c r="J123" i="1"/>
  <c r="J122" i="1"/>
  <c r="J121" i="1"/>
  <c r="H109" i="1"/>
  <c r="E109" i="1"/>
  <c r="J117" i="1"/>
  <c r="G117" i="1"/>
  <c r="J116" i="1"/>
  <c r="G116" i="1"/>
  <c r="J115" i="1"/>
  <c r="G115" i="1"/>
  <c r="J114" i="1"/>
  <c r="J113" i="1"/>
  <c r="J112" i="1"/>
  <c r="G112" i="1"/>
  <c r="J111" i="1"/>
  <c r="J110" i="1"/>
  <c r="H104" i="1"/>
  <c r="E104" i="1"/>
  <c r="J106" i="1"/>
  <c r="J105" i="1"/>
  <c r="G105" i="1"/>
  <c r="H99" i="1"/>
  <c r="E99" i="1"/>
  <c r="J101" i="1"/>
  <c r="J100" i="1"/>
  <c r="H90" i="1"/>
  <c r="E90" i="1"/>
  <c r="J95" i="1"/>
  <c r="G95" i="1"/>
  <c r="J94" i="1"/>
  <c r="G94" i="1"/>
  <c r="J93" i="1"/>
  <c r="J92" i="1"/>
  <c r="J91" i="1"/>
  <c r="H76" i="1"/>
  <c r="E76" i="1"/>
  <c r="J87" i="1"/>
  <c r="J86" i="1"/>
  <c r="J85" i="1"/>
  <c r="J84" i="1"/>
  <c r="J83" i="1"/>
  <c r="J82" i="1"/>
  <c r="J81" i="1"/>
  <c r="G81" i="1"/>
  <c r="J80" i="1"/>
  <c r="J79" i="1"/>
  <c r="J78" i="1"/>
  <c r="J77" i="1"/>
  <c r="H4" i="1"/>
  <c r="E4" i="1"/>
  <c r="H67" i="1"/>
  <c r="E67" i="1"/>
  <c r="J70" i="1"/>
  <c r="G70" i="1"/>
  <c r="J69" i="1"/>
  <c r="G69" i="1"/>
  <c r="J68" i="1"/>
  <c r="H60" i="1"/>
  <c r="E60" i="1"/>
  <c r="J64" i="1"/>
  <c r="J63" i="1"/>
  <c r="J62" i="1"/>
  <c r="J61" i="1"/>
  <c r="H26" i="1"/>
  <c r="E26" i="1"/>
  <c r="H53" i="1"/>
  <c r="E53" i="1"/>
  <c r="J55" i="1"/>
  <c r="J54" i="1"/>
  <c r="H47" i="1"/>
  <c r="E47" i="1"/>
  <c r="J50" i="1"/>
  <c r="G50" i="1"/>
  <c r="J49" i="1"/>
  <c r="J48" i="1"/>
  <c r="H37" i="1"/>
  <c r="E37" i="1"/>
  <c r="J44" i="1"/>
  <c r="J43" i="1"/>
  <c r="J42" i="1"/>
  <c r="J41" i="1"/>
  <c r="G41" i="1"/>
  <c r="J40" i="1"/>
  <c r="J39" i="1"/>
  <c r="J38" i="1"/>
  <c r="H32" i="1"/>
  <c r="E32" i="1"/>
  <c r="J34" i="1"/>
  <c r="J33" i="1"/>
  <c r="H27" i="1"/>
  <c r="E27" i="1"/>
  <c r="J29" i="1"/>
  <c r="G29" i="1"/>
  <c r="J28" i="1"/>
  <c r="H18" i="1"/>
  <c r="E18" i="1"/>
  <c r="J23" i="1"/>
  <c r="J22" i="1"/>
  <c r="G22" i="1"/>
  <c r="J21" i="1"/>
  <c r="G21" i="1"/>
  <c r="J20" i="1"/>
  <c r="J19" i="1"/>
  <c r="H5" i="1"/>
  <c r="E5" i="1"/>
  <c r="J15" i="1"/>
  <c r="J14" i="1"/>
  <c r="J13" i="1"/>
  <c r="G13" i="1"/>
  <c r="J12" i="1"/>
  <c r="J11" i="1"/>
  <c r="J10" i="1"/>
  <c r="J9" i="1"/>
  <c r="J8" i="1"/>
  <c r="J7" i="1"/>
  <c r="J6" i="1"/>
  <c r="F56" i="1" l="1"/>
  <c r="G56" i="1" s="1"/>
  <c r="G53" i="1" s="1"/>
  <c r="F102" i="1"/>
  <c r="G102" i="1" s="1"/>
  <c r="G99" i="1" s="1"/>
  <c r="I56" i="1"/>
  <c r="I53" i="1" s="1"/>
  <c r="F88" i="1"/>
  <c r="G88" i="1" s="1"/>
  <c r="G76" i="1" s="1"/>
  <c r="F146" i="1"/>
  <c r="G146" i="1" s="1"/>
  <c r="G142" i="1" s="1"/>
  <c r="F118" i="1"/>
  <c r="F109" i="1" s="1"/>
  <c r="F30" i="1"/>
  <c r="F27" i="1" s="1"/>
  <c r="F51" i="1"/>
  <c r="F47" i="1" s="1"/>
  <c r="I102" i="1"/>
  <c r="I99" i="1" s="1"/>
  <c r="F35" i="1"/>
  <c r="F32" i="1" s="1"/>
  <c r="F45" i="1"/>
  <c r="F37" i="1" s="1"/>
  <c r="I131" i="1"/>
  <c r="J131" i="1" s="1"/>
  <c r="J127" i="1" s="1"/>
  <c r="F71" i="1"/>
  <c r="F67" i="1" s="1"/>
  <c r="F96" i="1"/>
  <c r="G96" i="1" s="1"/>
  <c r="G90" i="1" s="1"/>
  <c r="F107" i="1"/>
  <c r="G107" i="1" s="1"/>
  <c r="G104" i="1" s="1"/>
  <c r="F125" i="1"/>
  <c r="F120" i="1" s="1"/>
  <c r="F16" i="1"/>
  <c r="F5" i="1" s="1"/>
  <c r="F24" i="1"/>
  <c r="F18" i="1" s="1"/>
  <c r="F65" i="1"/>
  <c r="F60" i="1" s="1"/>
  <c r="F131" i="1"/>
  <c r="F127" i="1" s="1"/>
  <c r="F140" i="1"/>
  <c r="F135" i="1" s="1"/>
  <c r="I146" i="1"/>
  <c r="J146" i="1" s="1"/>
  <c r="J142" i="1" s="1"/>
  <c r="I140" i="1"/>
  <c r="J140" i="1" s="1"/>
  <c r="J135" i="1" s="1"/>
  <c r="I125" i="1"/>
  <c r="J125" i="1" s="1"/>
  <c r="J120" i="1" s="1"/>
  <c r="I118" i="1"/>
  <c r="I109" i="1" s="1"/>
  <c r="I107" i="1"/>
  <c r="J107" i="1" s="1"/>
  <c r="J104" i="1" s="1"/>
  <c r="I96" i="1"/>
  <c r="J96" i="1" s="1"/>
  <c r="J90" i="1" s="1"/>
  <c r="I88" i="1"/>
  <c r="I76" i="1" s="1"/>
  <c r="I71" i="1"/>
  <c r="J71" i="1" s="1"/>
  <c r="J67" i="1" s="1"/>
  <c r="I65" i="1"/>
  <c r="I60" i="1" s="1"/>
  <c r="I51" i="1"/>
  <c r="J51" i="1" s="1"/>
  <c r="J47" i="1" s="1"/>
  <c r="I47" i="1"/>
  <c r="I45" i="1"/>
  <c r="J45" i="1" s="1"/>
  <c r="J37" i="1" s="1"/>
  <c r="I35" i="1"/>
  <c r="J35" i="1" s="1"/>
  <c r="J32" i="1" s="1"/>
  <c r="I30" i="1"/>
  <c r="J30" i="1" s="1"/>
  <c r="J27" i="1" s="1"/>
  <c r="I24" i="1"/>
  <c r="J24" i="1" s="1"/>
  <c r="J18" i="1" s="1"/>
  <c r="I16" i="1"/>
  <c r="J16" i="1" s="1"/>
  <c r="J5" i="1" s="1"/>
  <c r="I5" i="1"/>
  <c r="I150" i="1"/>
  <c r="J152" i="1"/>
  <c r="J150" i="1" s="1"/>
  <c r="I127" i="1"/>
  <c r="J56" i="1"/>
  <c r="J53" i="1" s="1"/>
  <c r="G152" i="1"/>
  <c r="G150" i="1" s="1"/>
  <c r="I90" i="1" l="1"/>
  <c r="F99" i="1"/>
  <c r="G65" i="1"/>
  <c r="G60" i="1" s="1"/>
  <c r="G30" i="1"/>
  <c r="G27" i="1" s="1"/>
  <c r="F90" i="1"/>
  <c r="F53" i="1"/>
  <c r="F142" i="1"/>
  <c r="G118" i="1"/>
  <c r="G109" i="1" s="1"/>
  <c r="G16" i="1"/>
  <c r="G5" i="1" s="1"/>
  <c r="J118" i="1"/>
  <c r="J109" i="1" s="1"/>
  <c r="J88" i="1"/>
  <c r="J76" i="1" s="1"/>
  <c r="J102" i="1"/>
  <c r="J99" i="1" s="1"/>
  <c r="I133" i="1" s="1"/>
  <c r="G51" i="1"/>
  <c r="G47" i="1" s="1"/>
  <c r="F76" i="1"/>
  <c r="G35" i="1"/>
  <c r="G32" i="1" s="1"/>
  <c r="I142" i="1"/>
  <c r="G71" i="1"/>
  <c r="G67" i="1" s="1"/>
  <c r="G140" i="1"/>
  <c r="G135" i="1" s="1"/>
  <c r="G45" i="1"/>
  <c r="G37" i="1" s="1"/>
  <c r="G131" i="1"/>
  <c r="G127" i="1" s="1"/>
  <c r="I104" i="1"/>
  <c r="I27" i="1"/>
  <c r="I67" i="1"/>
  <c r="G24" i="1"/>
  <c r="G18" i="1" s="1"/>
  <c r="G125" i="1"/>
  <c r="G120" i="1" s="1"/>
  <c r="F104" i="1"/>
  <c r="I120" i="1"/>
  <c r="I135" i="1"/>
  <c r="J65" i="1"/>
  <c r="J60" i="1" s="1"/>
  <c r="I37" i="1"/>
  <c r="I58" i="1"/>
  <c r="J58" i="1" s="1"/>
  <c r="J26" i="1" s="1"/>
  <c r="I32" i="1"/>
  <c r="I18" i="1"/>
  <c r="F133" i="1" l="1"/>
  <c r="F98" i="1" s="1"/>
  <c r="F58" i="1"/>
  <c r="F26" i="1" s="1"/>
  <c r="I73" i="1"/>
  <c r="I4" i="1" s="1"/>
  <c r="I26" i="1"/>
  <c r="I98" i="1"/>
  <c r="J133" i="1"/>
  <c r="J98" i="1" s="1"/>
  <c r="I148" i="1" s="1"/>
  <c r="G133" i="1" l="1"/>
  <c r="G98" i="1" s="1"/>
  <c r="F148" i="1" s="1"/>
  <c r="G148" i="1" s="1"/>
  <c r="G75" i="1" s="1"/>
  <c r="G58" i="1"/>
  <c r="G26" i="1" s="1"/>
  <c r="F73" i="1" s="1"/>
  <c r="G73" i="1" s="1"/>
  <c r="G4" i="1" s="1"/>
  <c r="J73" i="1"/>
  <c r="J4" i="1" s="1"/>
  <c r="I75" i="1"/>
  <c r="J148" i="1"/>
  <c r="J75" i="1" s="1"/>
  <c r="F75" i="1" l="1"/>
  <c r="F4" i="1"/>
  <c r="I154" i="1"/>
  <c r="J154" i="1" s="1"/>
  <c r="I157" i="1" s="1"/>
  <c r="J157" i="1" s="1"/>
  <c r="J158" i="1" s="1"/>
  <c r="J159" i="1" s="1"/>
  <c r="J160" i="1" s="1"/>
  <c r="J161" i="1" s="1"/>
  <c r="F154" i="1"/>
  <c r="G154" i="1" s="1"/>
  <c r="F157" i="1" s="1"/>
  <c r="G157" i="1" s="1"/>
  <c r="G158" i="1" s="1"/>
  <c r="G159" i="1" s="1"/>
  <c r="G160" i="1" l="1"/>
  <c r="G16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3" authorId="0" shapeId="0" xr:uid="{98F65F77-6355-423D-87F6-8D79931DE29E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1132A717-5019-4475-88E5-5CEF41B19C2B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0BAA0C8-8B8D-42D1-ABD5-AEDDE857FE17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CB3C166D-94B0-4115-8E1A-56C4F4344852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591E4CEA-3AA8-4086-A144-7A3A9BE5B313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783B0EA3-021B-4D8F-8BDF-40EB60D6CBB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B7CAFA77-D9EE-49A6-B393-9FE4D910AE82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E993DCE0-1DF3-4752-83FE-0F18A1C8C56B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56272AD7-5C9E-4E89-9832-1EC0BAA8F272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9C411086-D8AA-42EE-AE76-C580F7E1B31E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<sst xmlns="http://schemas.openxmlformats.org/spreadsheetml/2006/main" count="464" uniqueCount="179">
  <si>
    <t>Extracción de Emisiones de Motores Diésel de VVAA en diferentes emplazamientos de Metro de Madrid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</si>
  <si>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</si>
  <si>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</si>
  <si>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</si>
  <si>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</si>
  <si>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</si>
  <si>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</si>
  <si>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</si>
  <si>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</si>
  <si>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</si>
  <si>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</si>
  <si>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>CANILLEJAS - TALLER DE MANTENIMIENTO DE VVAA</t>
  </si>
  <si>
    <t>01.01</t>
  </si>
  <si>
    <t>ud</t>
  </si>
  <si>
    <t>Extracción Localizada y Ventilación General</t>
  </si>
  <si>
    <t>01.11</t>
  </si>
  <si>
    <t>Partida</t>
  </si>
  <si>
    <t>m</t>
  </si>
  <si>
    <t>Carril/Raíl Aspirante Taller Mtto</t>
  </si>
  <si>
    <t>01.12</t>
  </si>
  <si>
    <t>Carro, Manguera, Boquerel y Desconexión de Seguridad</t>
  </si>
  <si>
    <t>01.13</t>
  </si>
  <si>
    <t>Aspirador Emisiones Motores 4700 m3/h</t>
  </si>
  <si>
    <t>01.14</t>
  </si>
  <si>
    <t>Aspirador Emisiones Motores 6000 m3/h</t>
  </si>
  <si>
    <t>01.15</t>
  </si>
  <si>
    <t>Kit Escapes dobles</t>
  </si>
  <si>
    <t>01.161</t>
  </si>
  <si>
    <t>Conducto circular chapa acero galvanizado 250 mm.</t>
  </si>
  <si>
    <t>01.162</t>
  </si>
  <si>
    <t>Conducto circular chapa acero galvanizado 300 mm.</t>
  </si>
  <si>
    <t>01.17</t>
  </si>
  <si>
    <t>Conducto para extracción de humos de acero inoxidable</t>
  </si>
  <si>
    <t>01.18</t>
  </si>
  <si>
    <t>Cuadro de mando y control Extractores</t>
  </si>
  <si>
    <t>01.19</t>
  </si>
  <si>
    <t>Extractor Helicoidal apertura motorizada Vías 7 y 8</t>
  </si>
  <si>
    <t>Total 01.01</t>
  </si>
  <si>
    <t>01.02</t>
  </si>
  <si>
    <t>Detección de CO y NO2</t>
  </si>
  <si>
    <t>01.21</t>
  </si>
  <si>
    <t>Centralita de Detección de Gases</t>
  </si>
  <si>
    <t>01.22</t>
  </si>
  <si>
    <t>Detector de CO</t>
  </si>
  <si>
    <t>01.23</t>
  </si>
  <si>
    <t>Detector de NO2</t>
  </si>
  <si>
    <t>01.24</t>
  </si>
  <si>
    <t>Conjunto Señalización</t>
  </si>
  <si>
    <t>01.25</t>
  </si>
  <si>
    <t>Canalización y Cableado</t>
  </si>
  <si>
    <t>Total 01.02</t>
  </si>
  <si>
    <t>01.03</t>
  </si>
  <si>
    <t>Instalación Eléctrica BT</t>
  </si>
  <si>
    <t>01.03.01</t>
  </si>
  <si>
    <t>Cuartos de Baja Tensión</t>
  </si>
  <si>
    <t>I31BBB00TTCC</t>
  </si>
  <si>
    <t>Modificación Cuadro 5.2 Talleres Centrales</t>
  </si>
  <si>
    <t>I31AWR003X</t>
  </si>
  <si>
    <t>Rótulos serigrafiados y esquema sinóptico</t>
  </si>
  <si>
    <t>Total 01.03.01</t>
  </si>
  <si>
    <t>01.03.02</t>
  </si>
  <si>
    <t>Cuadros Secundarios</t>
  </si>
  <si>
    <t>I31BDA013TTCC</t>
  </si>
  <si>
    <t>Modificación y revisión de cuadro CS-CL-DRES TTCC</t>
  </si>
  <si>
    <t>Total 01.03.02</t>
  </si>
  <si>
    <t>01.03.03</t>
  </si>
  <si>
    <t>Cableado</t>
  </si>
  <si>
    <t>I31CBG003</t>
  </si>
  <si>
    <t>Cable Cu. de 3 G 4 mm². RZ1-K (AS)-0.6/1 KV.</t>
  </si>
  <si>
    <t>I31CBF002</t>
  </si>
  <si>
    <t>Cable Cu. de 5 G 2,5 mm². RZ1-K (AS)-0.6/1 KV.</t>
  </si>
  <si>
    <t>I31CBF003</t>
  </si>
  <si>
    <t>Cable Cu. de 5 G 4 mm². RZ1-K (AS)-0.6/1 KV.</t>
  </si>
  <si>
    <t>I31CBF006</t>
  </si>
  <si>
    <t>Cable Cu. de 5 G 16 mm². RZ1-K (AS)-0.6/1 KV.</t>
  </si>
  <si>
    <t>I31CBA007</t>
  </si>
  <si>
    <t>Cable de Cu. de 1 x 25 mm². RZ1 (AS)-0.6/1KV.</t>
  </si>
  <si>
    <t>I31CBA008</t>
  </si>
  <si>
    <t>Cable de Cu. de 1 x 35 mm². RZ1 (AS)-0.6/1KV.</t>
  </si>
  <si>
    <t>I31CDC01</t>
  </si>
  <si>
    <t>Cable desnudo de Cu. de 1 x 35 mm².</t>
  </si>
  <si>
    <t>Total 01.03.03</t>
  </si>
  <si>
    <t>01.03.04</t>
  </si>
  <si>
    <t>Canalizaciones</t>
  </si>
  <si>
    <t>I31ZKA003</t>
  </si>
  <si>
    <t>Bandeja perforada aislante libre de halógenos 300x60 mm con tapa y p.p. soportes</t>
  </si>
  <si>
    <t>DIDKTA004X2</t>
  </si>
  <si>
    <t>Tubo rígido M40 libre de halogenos</t>
  </si>
  <si>
    <t>I310764</t>
  </si>
  <si>
    <t>Tubo corrugado M40 libre de halogenos</t>
  </si>
  <si>
    <t>Total 01.03.04</t>
  </si>
  <si>
    <t>01.03.05</t>
  </si>
  <si>
    <t>Varios</t>
  </si>
  <si>
    <t>I31BDA098X0DP</t>
  </si>
  <si>
    <t>Desconexión de circuitos/líneas en cuadros</t>
  </si>
  <si>
    <t>01.03.05.01</t>
  </si>
  <si>
    <t>Desmontaje Instalaciones existentes obsoletas</t>
  </si>
  <si>
    <t>Total 01.03.05</t>
  </si>
  <si>
    <t>Total 01.03</t>
  </si>
  <si>
    <t>01.04</t>
  </si>
  <si>
    <t>Obras</t>
  </si>
  <si>
    <t>01.41</t>
  </si>
  <si>
    <t>Apertura Salidas de Chimenea</t>
  </si>
  <si>
    <t>01.42</t>
  </si>
  <si>
    <t>Apertura hueco de paso en muro de cerramiento</t>
  </si>
  <si>
    <t>01.43</t>
  </si>
  <si>
    <t>Señalización Zona Actuación Extracción Localizada</t>
  </si>
  <si>
    <t>01.44</t>
  </si>
  <si>
    <t>Ayudas de albañilería</t>
  </si>
  <si>
    <t>Total 01.04</t>
  </si>
  <si>
    <t>01.05</t>
  </si>
  <si>
    <t>Documentación de Obra</t>
  </si>
  <si>
    <t>01.51</t>
  </si>
  <si>
    <t>Documentación Inicial de Obra</t>
  </si>
  <si>
    <t>01.52</t>
  </si>
  <si>
    <t>Documentación Final de Obra</t>
  </si>
  <si>
    <t>01.53</t>
  </si>
  <si>
    <t>Legalización tramitación puesta en servicio inst. eléct. BT</t>
  </si>
  <si>
    <t>Total 01.05</t>
  </si>
  <si>
    <t>Total 01</t>
  </si>
  <si>
    <t>02</t>
  </si>
  <si>
    <t>LAGUNA - NAVE MANTENIMIENTO LÍNEA AÉREA</t>
  </si>
  <si>
    <t>02.01</t>
  </si>
  <si>
    <t>02.11</t>
  </si>
  <si>
    <t>Carril Rail Aspirante</t>
  </si>
  <si>
    <t>02.18</t>
  </si>
  <si>
    <t>Cuadro de mando y control de Extractores</t>
  </si>
  <si>
    <t>02.19</t>
  </si>
  <si>
    <t>Extractor Helicoidal Ventilación General</t>
  </si>
  <si>
    <t>02.20</t>
  </si>
  <si>
    <t>Rejillas de entrada de aire</t>
  </si>
  <si>
    <t>Total 02.01</t>
  </si>
  <si>
    <t>02.02</t>
  </si>
  <si>
    <t>02.21</t>
  </si>
  <si>
    <t>Total 02.02</t>
  </si>
  <si>
    <t>02.03</t>
  </si>
  <si>
    <t>02.03.01</t>
  </si>
  <si>
    <t>I31BBB00LA</t>
  </si>
  <si>
    <t>Modificación Cuadro General Nave LA</t>
  </si>
  <si>
    <t>Total 02.03.01</t>
  </si>
  <si>
    <t>02.03.02</t>
  </si>
  <si>
    <t>I31BDA013LA</t>
  </si>
  <si>
    <t>Cuadro secundario general nave Línea Aérea</t>
  </si>
  <si>
    <t>I31BDA013LAHU</t>
  </si>
  <si>
    <t>Cuadro secundario Extractores nave Línea Aérea</t>
  </si>
  <si>
    <t>Total 02.03.02</t>
  </si>
  <si>
    <t>02.03.03</t>
  </si>
  <si>
    <t>I31CBG004</t>
  </si>
  <si>
    <t>Cable Cu. de 3 G 6 mm². RZ1-K (AS)-0.6/1 KV.</t>
  </si>
  <si>
    <t>Total 02.03.03</t>
  </si>
  <si>
    <t>02.03.04</t>
  </si>
  <si>
    <t>I310778</t>
  </si>
  <si>
    <t>Tubo corrugado doble capa M90 libre de halogenos</t>
  </si>
  <si>
    <t>Total 02.03.04</t>
  </si>
  <si>
    <t>02.03.05</t>
  </si>
  <si>
    <t>I31EST041</t>
  </si>
  <si>
    <t>Luminaria estanca LED. 15-50W 4000K.</t>
  </si>
  <si>
    <t>Total 02.03.05</t>
  </si>
  <si>
    <t>Total 02.03</t>
  </si>
  <si>
    <t>02.04</t>
  </si>
  <si>
    <t>Total 02.04</t>
  </si>
  <si>
    <t>Total 02</t>
  </si>
  <si>
    <t>03</t>
  </si>
  <si>
    <t>SEGURIDAD Y SALUD</t>
  </si>
  <si>
    <t>03.01</t>
  </si>
  <si>
    <t>Seguridad y Salud</t>
  </si>
  <si>
    <t>Total 03</t>
  </si>
  <si>
    <t>Total IO_23-017P</t>
  </si>
  <si>
    <t>TOTAL PRESUPUESTO EJECUCIÓN MATERIAL</t>
  </si>
  <si>
    <t>GASTOS GENERALES Y BENEFICIO INDUSTRIAL</t>
  </si>
  <si>
    <t>TOTAL OFERTA SIN IVA</t>
  </si>
  <si>
    <t>IMPORTE IVA</t>
  </si>
  <si>
    <t>TOTAL OFERTA IVA INCLUIDO</t>
  </si>
  <si>
    <t>La oferta sin IVA no podrá superar la base imponible</t>
  </si>
  <si>
    <t>La oferta con IVA no podrá superar el presupuesto base de licitación.</t>
  </si>
  <si>
    <t>Los precios por partida no podrán ser superiores a los presupuestados.</t>
  </si>
  <si>
    <t>Los precios unitarios de las partidas alzadas no se podrán modificar.</t>
  </si>
  <si>
    <t>Se deberán tener en cuenta las Notas del apartado “27. Evaluación de las ofertas” del cuadro resumen del Pliego de Condiciones Particulares.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</si>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</sst>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49" fontId="5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4" fontId="5" fillId="3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5" borderId="0" xfId="0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4" fontId="5" fillId="3" borderId="0" xfId="0" applyNumberFormat="1" applyFont="1" applyFill="1" applyAlignment="1" applyProtection="1">
      <alignment vertical="top"/>
      <protection locked="0"/>
    </xf>
    <xf numFmtId="4" fontId="7" fillId="7" borderId="0" xfId="0" applyNumberFormat="1" applyFont="1" applyFill="1" applyAlignment="1" applyProtection="1">
      <alignment vertical="top"/>
      <protection locked="0"/>
    </xf>
    <xf numFmtId="49" fontId="5" fillId="8" borderId="1" xfId="0" applyNumberFormat="1" applyFont="1" applyFill="1" applyBorder="1" applyAlignment="1">
      <alignment vertical="top" wrapText="1"/>
    </xf>
    <xf numFmtId="3" fontId="7" fillId="8" borderId="2" xfId="0" applyNumberFormat="1" applyFont="1" applyFill="1" applyBorder="1" applyAlignment="1">
      <alignment vertical="top"/>
    </xf>
    <xf numFmtId="4" fontId="6" fillId="8" borderId="2" xfId="0" applyNumberFormat="1" applyFont="1" applyFill="1" applyBorder="1" applyAlignment="1">
      <alignment vertical="top"/>
    </xf>
    <xf numFmtId="4" fontId="6" fillId="8" borderId="3" xfId="0" applyNumberFormat="1" applyFont="1" applyFill="1" applyBorder="1" applyAlignment="1">
      <alignment vertical="top"/>
    </xf>
    <xf numFmtId="49" fontId="5" fillId="8" borderId="4" xfId="0" applyNumberFormat="1" applyFont="1" applyFill="1" applyBorder="1" applyAlignment="1">
      <alignment vertical="top" wrapText="1"/>
    </xf>
    <xf numFmtId="9" fontId="7" fillId="8" borderId="0" xfId="1" applyFont="1" applyFill="1" applyBorder="1" applyAlignment="1">
      <alignment vertical="top"/>
    </xf>
    <xf numFmtId="0" fontId="0" fillId="8" borderId="0" xfId="0" applyFill="1" applyBorder="1"/>
    <xf numFmtId="4" fontId="6" fillId="8" borderId="0" xfId="0" applyNumberFormat="1" applyFont="1" applyFill="1" applyBorder="1" applyAlignment="1">
      <alignment vertical="top"/>
    </xf>
    <xf numFmtId="4" fontId="6" fillId="8" borderId="5" xfId="0" applyNumberFormat="1" applyFont="1" applyFill="1" applyBorder="1" applyAlignment="1">
      <alignment vertical="top"/>
    </xf>
    <xf numFmtId="49" fontId="5" fillId="8" borderId="6" xfId="0" applyNumberFormat="1" applyFont="1" applyFill="1" applyBorder="1" applyAlignment="1">
      <alignment vertical="top" wrapText="1"/>
    </xf>
    <xf numFmtId="0" fontId="0" fillId="8" borderId="7" xfId="0" applyFill="1" applyBorder="1"/>
    <xf numFmtId="4" fontId="6" fillId="8" borderId="7" xfId="0" applyNumberFormat="1" applyFont="1" applyFill="1" applyBorder="1" applyAlignment="1">
      <alignment vertical="top"/>
    </xf>
    <xf numFmtId="4" fontId="6" fillId="8" borderId="8" xfId="0" applyNumberFormat="1" applyFont="1" applyFill="1" applyBorder="1" applyAlignment="1">
      <alignment vertical="top"/>
    </xf>
    <xf numFmtId="49" fontId="5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4" fontId="6" fillId="0" borderId="0" xfId="0" applyNumberFormat="1" applyFont="1" applyFill="1" applyBorder="1" applyAlignment="1">
      <alignment vertical="top"/>
    </xf>
    <xf numFmtId="0" fontId="0" fillId="0" borderId="0" xfId="0" applyBorder="1"/>
    <xf numFmtId="9" fontId="7" fillId="7" borderId="0" xfId="1" applyFont="1" applyFill="1" applyBorder="1" applyAlignment="1" applyProtection="1">
      <alignment vertical="top"/>
      <protection locked="0"/>
    </xf>
    <xf numFmtId="0" fontId="10" fillId="0" borderId="1" xfId="0" applyFont="1" applyBorder="1"/>
    <xf numFmtId="0" fontId="11" fillId="0" borderId="2" xfId="0" applyFont="1" applyBorder="1"/>
    <xf numFmtId="0" fontId="11" fillId="0" borderId="3" xfId="0" applyFont="1" applyBorder="1"/>
    <xf numFmtId="0" fontId="11" fillId="0" borderId="0" xfId="0" applyFont="1"/>
    <xf numFmtId="0" fontId="12" fillId="0" borderId="4" xfId="0" applyFont="1" applyBorder="1"/>
    <xf numFmtId="0" fontId="11" fillId="0" borderId="0" xfId="0" applyFont="1" applyBorder="1"/>
    <xf numFmtId="0" fontId="11" fillId="0" borderId="5" xfId="0" applyFont="1" applyBorder="1"/>
    <xf numFmtId="0" fontId="13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4" xfId="0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C1AA4-F310-4807-AEE3-2FD74999BDE8}">
  <dimension ref="A1:K169"/>
  <sheetViews>
    <sheetView tabSelected="1" zoomScaleNormal="100" workbookViewId="0">
      <pane xSplit="4" ySplit="3" topLeftCell="E145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4.4" x14ac:dyDescent="0.3"/>
  <cols>
    <col min="1" max="1" width="10.77734375" bestFit="1" customWidth="1"/>
    <col min="2" max="2" width="5.77734375" bestFit="1" customWidth="1"/>
    <col min="3" max="3" width="3.88671875" bestFit="1" customWidth="1"/>
    <col min="4" max="4" width="33.109375" customWidth="1"/>
    <col min="5" max="5" width="10.44140625" customWidth="1"/>
    <col min="6" max="6" width="10" bestFit="1" customWidth="1"/>
    <col min="7" max="7" width="8.109375" bestFit="1" customWidth="1"/>
    <col min="8" max="8" width="8" bestFit="1" customWidth="1"/>
    <col min="9" max="9" width="7.6640625" bestFit="1" customWidth="1"/>
    <col min="10" max="10" width="8.109375" bestFit="1" customWidth="1"/>
    <col min="11" max="11" width="12.6640625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" x14ac:dyDescent="0.3">
      <c r="A2" s="3" t="s">
        <v>1</v>
      </c>
      <c r="B2" s="2"/>
      <c r="C2" s="2"/>
      <c r="D2" s="2"/>
      <c r="E2" s="2"/>
      <c r="F2" s="2"/>
      <c r="G2" s="2"/>
      <c r="H2" s="3" t="s">
        <v>1</v>
      </c>
      <c r="I2" s="2"/>
      <c r="J2" s="2"/>
    </row>
    <row r="3" spans="1:10" x14ac:dyDescent="0.3">
      <c r="A3" s="4" t="s">
        <v>2</v>
      </c>
      <c r="B3" s="4" t="s">
        <v>3</v>
      </c>
      <c r="C3" s="4" t="s">
        <v>4</v>
      </c>
      <c r="D3" s="21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5" t="s">
        <v>9</v>
      </c>
      <c r="B4" s="5" t="s">
        <v>10</v>
      </c>
      <c r="C4" s="5" t="s">
        <v>4</v>
      </c>
      <c r="D4" s="22" t="s">
        <v>11</v>
      </c>
      <c r="E4" s="6">
        <f t="shared" ref="E4:J4" si="0">E73</f>
        <v>1</v>
      </c>
      <c r="F4" s="7">
        <f t="shared" si="0"/>
        <v>235112.95999999999</v>
      </c>
      <c r="G4" s="7">
        <f t="shared" si="0"/>
        <v>235112.95999999999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3">
      <c r="A5" s="8" t="s">
        <v>12</v>
      </c>
      <c r="B5" s="8" t="s">
        <v>10</v>
      </c>
      <c r="C5" s="8" t="s">
        <v>13</v>
      </c>
      <c r="D5" s="23" t="s">
        <v>14</v>
      </c>
      <c r="E5" s="9">
        <f t="shared" ref="E5:J5" si="1">E16</f>
        <v>1</v>
      </c>
      <c r="F5" s="9">
        <f t="shared" si="1"/>
        <v>170006.31</v>
      </c>
      <c r="G5" s="9">
        <f t="shared" si="1"/>
        <v>170006.31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0" x14ac:dyDescent="0.3">
      <c r="A6" s="10" t="s">
        <v>15</v>
      </c>
      <c r="B6" s="11" t="s">
        <v>16</v>
      </c>
      <c r="C6" s="11" t="s">
        <v>17</v>
      </c>
      <c r="D6" s="24" t="s">
        <v>18</v>
      </c>
      <c r="E6" s="12">
        <v>140</v>
      </c>
      <c r="F6" s="12">
        <f>675.38*1.05</f>
        <v>709.15</v>
      </c>
      <c r="G6" s="13">
        <f t="shared" ref="G6:G16" si="2">ROUND(E6*F6,2)</f>
        <v>99281</v>
      </c>
      <c r="H6" s="12">
        <v>140</v>
      </c>
      <c r="I6" s="29">
        <v>0</v>
      </c>
      <c r="J6" s="13">
        <f t="shared" ref="J6:J16" si="3">ROUND(H6*I6,2)</f>
        <v>0</v>
      </c>
    </row>
    <row r="7" spans="1:10" ht="20.399999999999999" x14ac:dyDescent="0.3">
      <c r="A7" s="10" t="s">
        <v>19</v>
      </c>
      <c r="B7" s="11" t="s">
        <v>16</v>
      </c>
      <c r="C7" s="11" t="s">
        <v>13</v>
      </c>
      <c r="D7" s="24" t="s">
        <v>20</v>
      </c>
      <c r="E7" s="12">
        <v>8</v>
      </c>
      <c r="F7" s="12">
        <f>2889.6*1.05</f>
        <v>3034.08</v>
      </c>
      <c r="G7" s="13">
        <f t="shared" si="2"/>
        <v>24272.639999999999</v>
      </c>
      <c r="H7" s="12">
        <v>8</v>
      </c>
      <c r="I7" s="29">
        <v>0</v>
      </c>
      <c r="J7" s="13">
        <f t="shared" si="3"/>
        <v>0</v>
      </c>
    </row>
    <row r="8" spans="1:10" x14ac:dyDescent="0.3">
      <c r="A8" s="10" t="s">
        <v>21</v>
      </c>
      <c r="B8" s="11" t="s">
        <v>16</v>
      </c>
      <c r="C8" s="11" t="s">
        <v>13</v>
      </c>
      <c r="D8" s="24" t="s">
        <v>22</v>
      </c>
      <c r="E8" s="12">
        <v>2</v>
      </c>
      <c r="F8" s="12">
        <f>2727.2*1.05</f>
        <v>2863.56</v>
      </c>
      <c r="G8" s="13">
        <f t="shared" si="2"/>
        <v>5727.12</v>
      </c>
      <c r="H8" s="12">
        <v>2</v>
      </c>
      <c r="I8" s="29">
        <v>0</v>
      </c>
      <c r="J8" s="13">
        <f t="shared" si="3"/>
        <v>0</v>
      </c>
    </row>
    <row r="9" spans="1:10" x14ac:dyDescent="0.3">
      <c r="A9" s="10" t="s">
        <v>23</v>
      </c>
      <c r="B9" s="11" t="s">
        <v>16</v>
      </c>
      <c r="C9" s="11" t="s">
        <v>13</v>
      </c>
      <c r="D9" s="24" t="s">
        <v>24</v>
      </c>
      <c r="E9" s="12">
        <v>1</v>
      </c>
      <c r="F9" s="12">
        <f>3718.4*1.05</f>
        <v>3904.32</v>
      </c>
      <c r="G9" s="13">
        <f t="shared" si="2"/>
        <v>3904.32</v>
      </c>
      <c r="H9" s="12">
        <v>1</v>
      </c>
      <c r="I9" s="29">
        <v>0</v>
      </c>
      <c r="J9" s="13">
        <f t="shared" si="3"/>
        <v>0</v>
      </c>
    </row>
    <row r="10" spans="1:10" x14ac:dyDescent="0.3">
      <c r="A10" s="10" t="s">
        <v>25</v>
      </c>
      <c r="B10" s="11" t="s">
        <v>16</v>
      </c>
      <c r="C10" s="11" t="s">
        <v>13</v>
      </c>
      <c r="D10" s="24" t="s">
        <v>26</v>
      </c>
      <c r="E10" s="12">
        <v>3</v>
      </c>
      <c r="F10" s="12">
        <f>1338*1.05</f>
        <v>1404.9</v>
      </c>
      <c r="G10" s="13">
        <f t="shared" si="2"/>
        <v>4214.7</v>
      </c>
      <c r="H10" s="12">
        <v>3</v>
      </c>
      <c r="I10" s="29">
        <v>0</v>
      </c>
      <c r="J10" s="13">
        <f t="shared" si="3"/>
        <v>0</v>
      </c>
    </row>
    <row r="11" spans="1:10" ht="20.399999999999999" x14ac:dyDescent="0.3">
      <c r="A11" s="10" t="s">
        <v>27</v>
      </c>
      <c r="B11" s="11" t="s">
        <v>16</v>
      </c>
      <c r="C11" s="11" t="s">
        <v>17</v>
      </c>
      <c r="D11" s="24" t="s">
        <v>28</v>
      </c>
      <c r="E11" s="12">
        <v>100</v>
      </c>
      <c r="F11" s="12">
        <f>50.6*1.05</f>
        <v>53.13</v>
      </c>
      <c r="G11" s="13">
        <f t="shared" si="2"/>
        <v>5313</v>
      </c>
      <c r="H11" s="12">
        <v>100</v>
      </c>
      <c r="I11" s="29">
        <v>0</v>
      </c>
      <c r="J11" s="13">
        <f t="shared" si="3"/>
        <v>0</v>
      </c>
    </row>
    <row r="12" spans="1:10" ht="20.399999999999999" x14ac:dyDescent="0.3">
      <c r="A12" s="10" t="s">
        <v>29</v>
      </c>
      <c r="B12" s="11" t="s">
        <v>16</v>
      </c>
      <c r="C12" s="11" t="s">
        <v>17</v>
      </c>
      <c r="D12" s="24" t="s">
        <v>30</v>
      </c>
      <c r="E12" s="12">
        <v>70</v>
      </c>
      <c r="F12" s="12">
        <f>56.36*1.05</f>
        <v>59.18</v>
      </c>
      <c r="G12" s="13">
        <f t="shared" si="2"/>
        <v>4142.6000000000004</v>
      </c>
      <c r="H12" s="12">
        <v>70</v>
      </c>
      <c r="I12" s="29">
        <v>0</v>
      </c>
      <c r="J12" s="13">
        <f t="shared" si="3"/>
        <v>0</v>
      </c>
    </row>
    <row r="13" spans="1:10" ht="20.399999999999999" x14ac:dyDescent="0.3">
      <c r="A13" s="10" t="s">
        <v>31</v>
      </c>
      <c r="B13" s="11" t="s">
        <v>16</v>
      </c>
      <c r="C13" s="11" t="s">
        <v>17</v>
      </c>
      <c r="D13" s="24" t="s">
        <v>32</v>
      </c>
      <c r="E13" s="12">
        <v>17</v>
      </c>
      <c r="F13" s="12">
        <f>290.6*1.05</f>
        <v>305.13</v>
      </c>
      <c r="G13" s="13">
        <f t="shared" si="2"/>
        <v>5187.21</v>
      </c>
      <c r="H13" s="12">
        <v>17</v>
      </c>
      <c r="I13" s="29">
        <v>0</v>
      </c>
      <c r="J13" s="13">
        <f t="shared" si="3"/>
        <v>0</v>
      </c>
    </row>
    <row r="14" spans="1:10" x14ac:dyDescent="0.3">
      <c r="A14" s="10" t="s">
        <v>33</v>
      </c>
      <c r="B14" s="11" t="s">
        <v>16</v>
      </c>
      <c r="C14" s="11" t="s">
        <v>13</v>
      </c>
      <c r="D14" s="24" t="s">
        <v>34</v>
      </c>
      <c r="E14" s="12">
        <v>2</v>
      </c>
      <c r="F14" s="12">
        <f>3648.75*1.05</f>
        <v>3831.19</v>
      </c>
      <c r="G14" s="13">
        <f t="shared" si="2"/>
        <v>7662.38</v>
      </c>
      <c r="H14" s="12">
        <v>2</v>
      </c>
      <c r="I14" s="29">
        <v>0</v>
      </c>
      <c r="J14" s="13">
        <f t="shared" si="3"/>
        <v>0</v>
      </c>
    </row>
    <row r="15" spans="1:10" x14ac:dyDescent="0.3">
      <c r="A15" s="10" t="s">
        <v>35</v>
      </c>
      <c r="B15" s="11" t="s">
        <v>16</v>
      </c>
      <c r="C15" s="11" t="s">
        <v>13</v>
      </c>
      <c r="D15" s="24" t="s">
        <v>36</v>
      </c>
      <c r="E15" s="12">
        <v>2</v>
      </c>
      <c r="F15" s="12">
        <f>4905.4*1.05</f>
        <v>5150.67</v>
      </c>
      <c r="G15" s="13">
        <f t="shared" si="2"/>
        <v>10301.34</v>
      </c>
      <c r="H15" s="12">
        <v>2</v>
      </c>
      <c r="I15" s="29">
        <v>0</v>
      </c>
      <c r="J15" s="13">
        <f t="shared" si="3"/>
        <v>0</v>
      </c>
    </row>
    <row r="16" spans="1:10" x14ac:dyDescent="0.3">
      <c r="A16" s="14"/>
      <c r="B16" s="14"/>
      <c r="C16" s="14"/>
      <c r="D16" s="25" t="s">
        <v>37</v>
      </c>
      <c r="E16" s="12">
        <v>1</v>
      </c>
      <c r="F16" s="15">
        <f>SUM(G6:G15)</f>
        <v>170006.31</v>
      </c>
      <c r="G16" s="15">
        <f t="shared" si="2"/>
        <v>170006.31</v>
      </c>
      <c r="H16" s="12">
        <v>1</v>
      </c>
      <c r="I16" s="15">
        <f>SUM(J6:J15)</f>
        <v>0</v>
      </c>
      <c r="J16" s="15">
        <f t="shared" si="3"/>
        <v>0</v>
      </c>
    </row>
    <row r="17" spans="1:10" ht="1.05" customHeight="1" x14ac:dyDescent="0.3">
      <c r="A17" s="16"/>
      <c r="B17" s="16"/>
      <c r="C17" s="16"/>
      <c r="D17" s="26"/>
      <c r="E17" s="16"/>
      <c r="F17" s="16"/>
      <c r="G17" s="16"/>
      <c r="H17" s="16"/>
      <c r="I17" s="16"/>
      <c r="J17" s="16"/>
    </row>
    <row r="18" spans="1:10" x14ac:dyDescent="0.3">
      <c r="A18" s="8" t="s">
        <v>38</v>
      </c>
      <c r="B18" s="8" t="s">
        <v>10</v>
      </c>
      <c r="C18" s="8" t="s">
        <v>13</v>
      </c>
      <c r="D18" s="23" t="s">
        <v>39</v>
      </c>
      <c r="E18" s="9">
        <f t="shared" ref="E18:J18" si="4">E24</f>
        <v>1</v>
      </c>
      <c r="F18" s="9">
        <f t="shared" si="4"/>
        <v>9876.24</v>
      </c>
      <c r="G18" s="9">
        <f t="shared" si="4"/>
        <v>9876.24</v>
      </c>
      <c r="H18" s="9">
        <f t="shared" si="4"/>
        <v>1</v>
      </c>
      <c r="I18" s="9">
        <f t="shared" si="4"/>
        <v>0</v>
      </c>
      <c r="J18" s="9">
        <f t="shared" si="4"/>
        <v>0</v>
      </c>
    </row>
    <row r="19" spans="1:10" x14ac:dyDescent="0.3">
      <c r="A19" s="10" t="s">
        <v>40</v>
      </c>
      <c r="B19" s="11" t="s">
        <v>16</v>
      </c>
      <c r="C19" s="11" t="s">
        <v>13</v>
      </c>
      <c r="D19" s="24" t="s">
        <v>41</v>
      </c>
      <c r="E19" s="12">
        <v>1</v>
      </c>
      <c r="F19" s="12">
        <f>1164*1.05</f>
        <v>1222.2</v>
      </c>
      <c r="G19" s="13">
        <f t="shared" ref="G19:G24" si="5">ROUND(E19*F19,2)</f>
        <v>1222.2</v>
      </c>
      <c r="H19" s="12">
        <v>1</v>
      </c>
      <c r="I19" s="29">
        <v>0</v>
      </c>
      <c r="J19" s="13">
        <f t="shared" ref="J19:J24" si="6">ROUND(H19*I19,2)</f>
        <v>0</v>
      </c>
    </row>
    <row r="20" spans="1:10" x14ac:dyDescent="0.3">
      <c r="A20" s="10" t="s">
        <v>42</v>
      </c>
      <c r="B20" s="11" t="s">
        <v>16</v>
      </c>
      <c r="C20" s="11" t="s">
        <v>13</v>
      </c>
      <c r="D20" s="24" t="s">
        <v>43</v>
      </c>
      <c r="E20" s="12">
        <v>9</v>
      </c>
      <c r="F20" s="12">
        <f>99.6*1.05</f>
        <v>104.58</v>
      </c>
      <c r="G20" s="13">
        <f t="shared" si="5"/>
        <v>941.22</v>
      </c>
      <c r="H20" s="12">
        <v>9</v>
      </c>
      <c r="I20" s="29">
        <v>0</v>
      </c>
      <c r="J20" s="13">
        <f t="shared" si="6"/>
        <v>0</v>
      </c>
    </row>
    <row r="21" spans="1:10" x14ac:dyDescent="0.3">
      <c r="A21" s="10" t="s">
        <v>44</v>
      </c>
      <c r="B21" s="11" t="s">
        <v>16</v>
      </c>
      <c r="C21" s="11" t="s">
        <v>13</v>
      </c>
      <c r="D21" s="24" t="s">
        <v>45</v>
      </c>
      <c r="E21" s="12">
        <v>9</v>
      </c>
      <c r="F21" s="12">
        <f>261.6*1.05</f>
        <v>274.68</v>
      </c>
      <c r="G21" s="13">
        <f t="shared" si="5"/>
        <v>2472.12</v>
      </c>
      <c r="H21" s="12">
        <v>9</v>
      </c>
      <c r="I21" s="29">
        <v>0</v>
      </c>
      <c r="J21" s="13">
        <f t="shared" si="6"/>
        <v>0</v>
      </c>
    </row>
    <row r="22" spans="1:10" x14ac:dyDescent="0.3">
      <c r="A22" s="10" t="s">
        <v>46</v>
      </c>
      <c r="B22" s="11" t="s">
        <v>16</v>
      </c>
      <c r="C22" s="11" t="s">
        <v>13</v>
      </c>
      <c r="D22" s="24" t="s">
        <v>47</v>
      </c>
      <c r="E22" s="12">
        <v>6</v>
      </c>
      <c r="F22" s="12">
        <f>118.43*1.05</f>
        <v>124.35</v>
      </c>
      <c r="G22" s="13">
        <f t="shared" si="5"/>
        <v>746.1</v>
      </c>
      <c r="H22" s="12">
        <v>6</v>
      </c>
      <c r="I22" s="29">
        <v>0</v>
      </c>
      <c r="J22" s="13">
        <f t="shared" si="6"/>
        <v>0</v>
      </c>
    </row>
    <row r="23" spans="1:10" x14ac:dyDescent="0.3">
      <c r="A23" s="10" t="s">
        <v>48</v>
      </c>
      <c r="B23" s="11" t="s">
        <v>16</v>
      </c>
      <c r="C23" s="11" t="s">
        <v>17</v>
      </c>
      <c r="D23" s="24" t="s">
        <v>49</v>
      </c>
      <c r="E23" s="12">
        <v>660</v>
      </c>
      <c r="F23" s="12">
        <f>6.49*1.05</f>
        <v>6.81</v>
      </c>
      <c r="G23" s="13">
        <f t="shared" si="5"/>
        <v>4494.6000000000004</v>
      </c>
      <c r="H23" s="12">
        <v>660</v>
      </c>
      <c r="I23" s="29">
        <v>0</v>
      </c>
      <c r="J23" s="13">
        <f t="shared" si="6"/>
        <v>0</v>
      </c>
    </row>
    <row r="24" spans="1:10" x14ac:dyDescent="0.3">
      <c r="A24" s="14"/>
      <c r="B24" s="14"/>
      <c r="C24" s="14"/>
      <c r="D24" s="25" t="s">
        <v>50</v>
      </c>
      <c r="E24" s="12">
        <v>1</v>
      </c>
      <c r="F24" s="15">
        <f>SUM(G19:G23)</f>
        <v>9876.24</v>
      </c>
      <c r="G24" s="15">
        <f t="shared" si="5"/>
        <v>9876.24</v>
      </c>
      <c r="H24" s="12">
        <v>1</v>
      </c>
      <c r="I24" s="15">
        <f>SUM(J19:J23)</f>
        <v>0</v>
      </c>
      <c r="J24" s="15">
        <f t="shared" si="6"/>
        <v>0</v>
      </c>
    </row>
    <row r="25" spans="1:10" ht="1.05" customHeight="1" x14ac:dyDescent="0.3">
      <c r="A25" s="16"/>
      <c r="B25" s="16"/>
      <c r="C25" s="16"/>
      <c r="D25" s="26"/>
      <c r="E25" s="16"/>
      <c r="F25" s="16"/>
      <c r="G25" s="16"/>
      <c r="H25" s="16"/>
      <c r="I25" s="16"/>
      <c r="J25" s="16"/>
    </row>
    <row r="26" spans="1:10" x14ac:dyDescent="0.3">
      <c r="A26" s="8" t="s">
        <v>51</v>
      </c>
      <c r="B26" s="8" t="s">
        <v>10</v>
      </c>
      <c r="C26" s="8" t="s">
        <v>13</v>
      </c>
      <c r="D26" s="23" t="s">
        <v>52</v>
      </c>
      <c r="E26" s="9">
        <f t="shared" ref="E26:J26" si="7">E58</f>
        <v>1</v>
      </c>
      <c r="F26" s="9">
        <f t="shared" si="7"/>
        <v>30708.94</v>
      </c>
      <c r="G26" s="9">
        <f t="shared" si="7"/>
        <v>30708.94</v>
      </c>
      <c r="H26" s="9">
        <f t="shared" si="7"/>
        <v>1</v>
      </c>
      <c r="I26" s="9">
        <f t="shared" si="7"/>
        <v>0</v>
      </c>
      <c r="J26" s="9">
        <f t="shared" si="7"/>
        <v>0</v>
      </c>
    </row>
    <row r="27" spans="1:10" x14ac:dyDescent="0.3">
      <c r="A27" s="17" t="s">
        <v>53</v>
      </c>
      <c r="B27" s="17" t="s">
        <v>10</v>
      </c>
      <c r="C27" s="17" t="s">
        <v>13</v>
      </c>
      <c r="D27" s="27" t="s">
        <v>54</v>
      </c>
      <c r="E27" s="18">
        <f t="shared" ref="E27:J27" si="8">E30</f>
        <v>1</v>
      </c>
      <c r="F27" s="18">
        <f t="shared" si="8"/>
        <v>2456.92</v>
      </c>
      <c r="G27" s="18">
        <f t="shared" si="8"/>
        <v>2456.92</v>
      </c>
      <c r="H27" s="18">
        <f t="shared" si="8"/>
        <v>1</v>
      </c>
      <c r="I27" s="18">
        <f t="shared" si="8"/>
        <v>0</v>
      </c>
      <c r="J27" s="18">
        <f t="shared" si="8"/>
        <v>0</v>
      </c>
    </row>
    <row r="28" spans="1:10" x14ac:dyDescent="0.3">
      <c r="A28" s="10" t="s">
        <v>55</v>
      </c>
      <c r="B28" s="11" t="s">
        <v>16</v>
      </c>
      <c r="C28" s="11" t="s">
        <v>13</v>
      </c>
      <c r="D28" s="24" t="s">
        <v>56</v>
      </c>
      <c r="E28" s="12">
        <v>1</v>
      </c>
      <c r="F28" s="12">
        <f>2209.27*1.05</f>
        <v>2319.73</v>
      </c>
      <c r="G28" s="13">
        <f>ROUND(E28*F28,2)</f>
        <v>2319.73</v>
      </c>
      <c r="H28" s="12">
        <v>1</v>
      </c>
      <c r="I28" s="29">
        <v>0</v>
      </c>
      <c r="J28" s="13">
        <f>ROUND(H28*I28,2)</f>
        <v>0</v>
      </c>
    </row>
    <row r="29" spans="1:10" x14ac:dyDescent="0.3">
      <c r="A29" s="10" t="s">
        <v>57</v>
      </c>
      <c r="B29" s="11" t="s">
        <v>16</v>
      </c>
      <c r="C29" s="11" t="s">
        <v>13</v>
      </c>
      <c r="D29" s="24" t="s">
        <v>58</v>
      </c>
      <c r="E29" s="12">
        <v>1</v>
      </c>
      <c r="F29" s="12">
        <f>130.66*1.05</f>
        <v>137.19</v>
      </c>
      <c r="G29" s="13">
        <f>ROUND(E29*F29,2)</f>
        <v>137.19</v>
      </c>
      <c r="H29" s="12">
        <v>1</v>
      </c>
      <c r="I29" s="29">
        <v>0</v>
      </c>
      <c r="J29" s="13">
        <f>ROUND(H29*I29,2)</f>
        <v>0</v>
      </c>
    </row>
    <row r="30" spans="1:10" x14ac:dyDescent="0.3">
      <c r="A30" s="14"/>
      <c r="B30" s="14"/>
      <c r="C30" s="14"/>
      <c r="D30" s="25" t="s">
        <v>59</v>
      </c>
      <c r="E30" s="12">
        <v>1</v>
      </c>
      <c r="F30" s="15">
        <f>SUM(G28:G29)</f>
        <v>2456.92</v>
      </c>
      <c r="G30" s="15">
        <f>ROUND(E30*F30,2)</f>
        <v>2456.92</v>
      </c>
      <c r="H30" s="12">
        <v>1</v>
      </c>
      <c r="I30" s="15">
        <f>SUM(J28:J29)</f>
        <v>0</v>
      </c>
      <c r="J30" s="15">
        <f>ROUND(H30*I30,2)</f>
        <v>0</v>
      </c>
    </row>
    <row r="31" spans="1:10" ht="1.05" customHeight="1" x14ac:dyDescent="0.3">
      <c r="A31" s="16"/>
      <c r="B31" s="16"/>
      <c r="C31" s="16"/>
      <c r="D31" s="26"/>
      <c r="E31" s="16"/>
      <c r="F31" s="16"/>
      <c r="G31" s="16"/>
      <c r="H31" s="16"/>
      <c r="I31" s="16"/>
      <c r="J31" s="16"/>
    </row>
    <row r="32" spans="1:10" x14ac:dyDescent="0.3">
      <c r="A32" s="17" t="s">
        <v>60</v>
      </c>
      <c r="B32" s="17" t="s">
        <v>10</v>
      </c>
      <c r="C32" s="17" t="s">
        <v>13</v>
      </c>
      <c r="D32" s="27" t="s">
        <v>61</v>
      </c>
      <c r="E32" s="18">
        <f t="shared" ref="E32:J32" si="9">E35</f>
        <v>1</v>
      </c>
      <c r="F32" s="18">
        <f t="shared" si="9"/>
        <v>5050.72</v>
      </c>
      <c r="G32" s="18">
        <f t="shared" si="9"/>
        <v>5050.72</v>
      </c>
      <c r="H32" s="18">
        <f t="shared" si="9"/>
        <v>1</v>
      </c>
      <c r="I32" s="18">
        <f t="shared" si="9"/>
        <v>0</v>
      </c>
      <c r="J32" s="18">
        <f t="shared" si="9"/>
        <v>0</v>
      </c>
    </row>
    <row r="33" spans="1:10" x14ac:dyDescent="0.3">
      <c r="A33" s="10" t="s">
        <v>62</v>
      </c>
      <c r="B33" s="11" t="s">
        <v>16</v>
      </c>
      <c r="C33" s="11" t="s">
        <v>13</v>
      </c>
      <c r="D33" s="24" t="s">
        <v>63</v>
      </c>
      <c r="E33" s="12">
        <v>1</v>
      </c>
      <c r="F33" s="12">
        <f>4679.55*1.05</f>
        <v>4913.53</v>
      </c>
      <c r="G33" s="13">
        <f>ROUND(E33*F33,2)</f>
        <v>4913.53</v>
      </c>
      <c r="H33" s="12">
        <v>1</v>
      </c>
      <c r="I33" s="29">
        <v>0</v>
      </c>
      <c r="J33" s="13">
        <f>ROUND(H33*I33,2)</f>
        <v>0</v>
      </c>
    </row>
    <row r="34" spans="1:10" x14ac:dyDescent="0.3">
      <c r="A34" s="10" t="s">
        <v>57</v>
      </c>
      <c r="B34" s="11" t="s">
        <v>16</v>
      </c>
      <c r="C34" s="11" t="s">
        <v>13</v>
      </c>
      <c r="D34" s="24" t="s">
        <v>58</v>
      </c>
      <c r="E34" s="12">
        <v>1</v>
      </c>
      <c r="F34" s="12">
        <f>130.66*1.05</f>
        <v>137.19</v>
      </c>
      <c r="G34" s="13">
        <f>ROUND(E34*F34,2)</f>
        <v>137.19</v>
      </c>
      <c r="H34" s="12">
        <v>1</v>
      </c>
      <c r="I34" s="29">
        <v>0</v>
      </c>
      <c r="J34" s="13">
        <f>ROUND(H34*I34,2)</f>
        <v>0</v>
      </c>
    </row>
    <row r="35" spans="1:10" x14ac:dyDescent="0.3">
      <c r="A35" s="14"/>
      <c r="B35" s="14"/>
      <c r="C35" s="14"/>
      <c r="D35" s="25" t="s">
        <v>64</v>
      </c>
      <c r="E35" s="12">
        <v>1</v>
      </c>
      <c r="F35" s="15">
        <f>SUM(G33:G34)</f>
        <v>5050.72</v>
      </c>
      <c r="G35" s="15">
        <f>ROUND(E35*F35,2)</f>
        <v>5050.72</v>
      </c>
      <c r="H35" s="12">
        <v>1</v>
      </c>
      <c r="I35" s="15">
        <f>SUM(J33:J34)</f>
        <v>0</v>
      </c>
      <c r="J35" s="15">
        <f>ROUND(H35*I35,2)</f>
        <v>0</v>
      </c>
    </row>
    <row r="36" spans="1:10" ht="1.05" customHeight="1" x14ac:dyDescent="0.3">
      <c r="A36" s="16"/>
      <c r="B36" s="16"/>
      <c r="C36" s="16"/>
      <c r="D36" s="26"/>
      <c r="E36" s="16"/>
      <c r="F36" s="16"/>
      <c r="G36" s="16"/>
      <c r="H36" s="16"/>
      <c r="I36" s="16"/>
      <c r="J36" s="16"/>
    </row>
    <row r="37" spans="1:10" x14ac:dyDescent="0.3">
      <c r="A37" s="17" t="s">
        <v>65</v>
      </c>
      <c r="B37" s="17" t="s">
        <v>10</v>
      </c>
      <c r="C37" s="17" t="s">
        <v>13</v>
      </c>
      <c r="D37" s="27" t="s">
        <v>66</v>
      </c>
      <c r="E37" s="18">
        <f t="shared" ref="E37:J37" si="10">E45</f>
        <v>1</v>
      </c>
      <c r="F37" s="18">
        <f t="shared" si="10"/>
        <v>12251.14</v>
      </c>
      <c r="G37" s="18">
        <f t="shared" si="10"/>
        <v>12251.14</v>
      </c>
      <c r="H37" s="18">
        <f t="shared" si="10"/>
        <v>1</v>
      </c>
      <c r="I37" s="18">
        <f t="shared" si="10"/>
        <v>0</v>
      </c>
      <c r="J37" s="18">
        <f t="shared" si="10"/>
        <v>0</v>
      </c>
    </row>
    <row r="38" spans="1:10" x14ac:dyDescent="0.3">
      <c r="A38" s="10" t="s">
        <v>67</v>
      </c>
      <c r="B38" s="11" t="s">
        <v>16</v>
      </c>
      <c r="C38" s="11" t="s">
        <v>17</v>
      </c>
      <c r="D38" s="24" t="s">
        <v>68</v>
      </c>
      <c r="E38" s="12">
        <v>126</v>
      </c>
      <c r="F38" s="12">
        <f>3.21*1.05</f>
        <v>3.37</v>
      </c>
      <c r="G38" s="13">
        <f t="shared" ref="G38:G45" si="11">ROUND(E38*F38,2)</f>
        <v>424.62</v>
      </c>
      <c r="H38" s="12">
        <v>126</v>
      </c>
      <c r="I38" s="29">
        <v>0</v>
      </c>
      <c r="J38" s="13">
        <f t="shared" ref="J38:J45" si="12">ROUND(H38*I38,2)</f>
        <v>0</v>
      </c>
    </row>
    <row r="39" spans="1:10" x14ac:dyDescent="0.3">
      <c r="A39" s="10" t="s">
        <v>69</v>
      </c>
      <c r="B39" s="11" t="s">
        <v>16</v>
      </c>
      <c r="C39" s="11" t="s">
        <v>17</v>
      </c>
      <c r="D39" s="24" t="s">
        <v>70</v>
      </c>
      <c r="E39" s="12">
        <v>126</v>
      </c>
      <c r="F39" s="12">
        <f>3.26*1.05</f>
        <v>3.42</v>
      </c>
      <c r="G39" s="13">
        <f t="shared" si="11"/>
        <v>430.92</v>
      </c>
      <c r="H39" s="12">
        <v>126</v>
      </c>
      <c r="I39" s="29">
        <v>0</v>
      </c>
      <c r="J39" s="13">
        <f t="shared" si="12"/>
        <v>0</v>
      </c>
    </row>
    <row r="40" spans="1:10" x14ac:dyDescent="0.3">
      <c r="A40" s="10" t="s">
        <v>71</v>
      </c>
      <c r="B40" s="11" t="s">
        <v>16</v>
      </c>
      <c r="C40" s="11" t="s">
        <v>17</v>
      </c>
      <c r="D40" s="24" t="s">
        <v>72</v>
      </c>
      <c r="E40" s="12">
        <v>608</v>
      </c>
      <c r="F40" s="12">
        <f>4.24*1.05</f>
        <v>4.45</v>
      </c>
      <c r="G40" s="13">
        <f t="shared" si="11"/>
        <v>2705.6</v>
      </c>
      <c r="H40" s="12">
        <v>608</v>
      </c>
      <c r="I40" s="29">
        <v>0</v>
      </c>
      <c r="J40" s="13">
        <f t="shared" si="12"/>
        <v>0</v>
      </c>
    </row>
    <row r="41" spans="1:10" x14ac:dyDescent="0.3">
      <c r="A41" s="10" t="s">
        <v>73</v>
      </c>
      <c r="B41" s="11" t="s">
        <v>16</v>
      </c>
      <c r="C41" s="11" t="s">
        <v>17</v>
      </c>
      <c r="D41" s="24" t="s">
        <v>74</v>
      </c>
      <c r="E41" s="12">
        <v>50</v>
      </c>
      <c r="F41" s="12">
        <f>15.44*1.05</f>
        <v>16.21</v>
      </c>
      <c r="G41" s="13">
        <f t="shared" si="11"/>
        <v>810.5</v>
      </c>
      <c r="H41" s="12">
        <v>50</v>
      </c>
      <c r="I41" s="29">
        <v>0</v>
      </c>
      <c r="J41" s="13">
        <f t="shared" si="12"/>
        <v>0</v>
      </c>
    </row>
    <row r="42" spans="1:10" x14ac:dyDescent="0.3">
      <c r="A42" s="10" t="s">
        <v>75</v>
      </c>
      <c r="B42" s="11" t="s">
        <v>16</v>
      </c>
      <c r="C42" s="11" t="s">
        <v>17</v>
      </c>
      <c r="D42" s="24" t="s">
        <v>76</v>
      </c>
      <c r="E42" s="12">
        <v>750</v>
      </c>
      <c r="F42" s="12">
        <f>5.13*1.05</f>
        <v>5.39</v>
      </c>
      <c r="G42" s="13">
        <f t="shared" si="11"/>
        <v>4042.5</v>
      </c>
      <c r="H42" s="12">
        <v>750</v>
      </c>
      <c r="I42" s="29">
        <v>0</v>
      </c>
      <c r="J42" s="13">
        <f t="shared" si="12"/>
        <v>0</v>
      </c>
    </row>
    <row r="43" spans="1:10" x14ac:dyDescent="0.3">
      <c r="A43" s="10" t="s">
        <v>77</v>
      </c>
      <c r="B43" s="11" t="s">
        <v>16</v>
      </c>
      <c r="C43" s="11" t="s">
        <v>17</v>
      </c>
      <c r="D43" s="24" t="s">
        <v>78</v>
      </c>
      <c r="E43" s="12">
        <v>50</v>
      </c>
      <c r="F43" s="12">
        <f>6.94*1.05</f>
        <v>7.29</v>
      </c>
      <c r="G43" s="13">
        <f t="shared" si="11"/>
        <v>364.5</v>
      </c>
      <c r="H43" s="12">
        <v>50</v>
      </c>
      <c r="I43" s="29">
        <v>0</v>
      </c>
      <c r="J43" s="13">
        <f t="shared" si="12"/>
        <v>0</v>
      </c>
    </row>
    <row r="44" spans="1:10" x14ac:dyDescent="0.3">
      <c r="A44" s="10" t="s">
        <v>79</v>
      </c>
      <c r="B44" s="11" t="s">
        <v>16</v>
      </c>
      <c r="C44" s="11" t="s">
        <v>17</v>
      </c>
      <c r="D44" s="24" t="s">
        <v>80</v>
      </c>
      <c r="E44" s="12">
        <v>250</v>
      </c>
      <c r="F44" s="12">
        <f>13.23*1.05</f>
        <v>13.89</v>
      </c>
      <c r="G44" s="13">
        <f t="shared" si="11"/>
        <v>3472.5</v>
      </c>
      <c r="H44" s="12">
        <v>250</v>
      </c>
      <c r="I44" s="29">
        <v>0</v>
      </c>
      <c r="J44" s="13">
        <f t="shared" si="12"/>
        <v>0</v>
      </c>
    </row>
    <row r="45" spans="1:10" x14ac:dyDescent="0.3">
      <c r="A45" s="14"/>
      <c r="B45" s="14"/>
      <c r="C45" s="14"/>
      <c r="D45" s="25" t="s">
        <v>81</v>
      </c>
      <c r="E45" s="12">
        <v>1</v>
      </c>
      <c r="F45" s="15">
        <f>SUM(G38:G44)</f>
        <v>12251.14</v>
      </c>
      <c r="G45" s="15">
        <f t="shared" si="11"/>
        <v>12251.14</v>
      </c>
      <c r="H45" s="12">
        <v>1</v>
      </c>
      <c r="I45" s="15">
        <f>SUM(J38:J44)</f>
        <v>0</v>
      </c>
      <c r="J45" s="15">
        <f t="shared" si="12"/>
        <v>0</v>
      </c>
    </row>
    <row r="46" spans="1:10" ht="1.05" customHeight="1" x14ac:dyDescent="0.3">
      <c r="A46" s="16"/>
      <c r="B46" s="16"/>
      <c r="C46" s="16"/>
      <c r="D46" s="26"/>
      <c r="E46" s="16"/>
      <c r="F46" s="16"/>
      <c r="G46" s="16"/>
      <c r="H46" s="16"/>
      <c r="I46" s="16"/>
      <c r="J46" s="16"/>
    </row>
    <row r="47" spans="1:10" x14ac:dyDescent="0.3">
      <c r="A47" s="17" t="s">
        <v>82</v>
      </c>
      <c r="B47" s="17" t="s">
        <v>10</v>
      </c>
      <c r="C47" s="17" t="s">
        <v>13</v>
      </c>
      <c r="D47" s="27" t="s">
        <v>83</v>
      </c>
      <c r="E47" s="18">
        <f t="shared" ref="E47:J47" si="13">E51</f>
        <v>1</v>
      </c>
      <c r="F47" s="18">
        <f t="shared" si="13"/>
        <v>8894.26</v>
      </c>
      <c r="G47" s="18">
        <f t="shared" si="13"/>
        <v>8894.26</v>
      </c>
      <c r="H47" s="18">
        <f t="shared" si="13"/>
        <v>1</v>
      </c>
      <c r="I47" s="18">
        <f t="shared" si="13"/>
        <v>0</v>
      </c>
      <c r="J47" s="18">
        <f t="shared" si="13"/>
        <v>0</v>
      </c>
    </row>
    <row r="48" spans="1:10" ht="20.399999999999999" x14ac:dyDescent="0.3">
      <c r="A48" s="10" t="s">
        <v>84</v>
      </c>
      <c r="B48" s="11" t="s">
        <v>16</v>
      </c>
      <c r="C48" s="11" t="s">
        <v>17</v>
      </c>
      <c r="D48" s="24" t="s">
        <v>85</v>
      </c>
      <c r="E48" s="12">
        <v>50</v>
      </c>
      <c r="F48" s="12">
        <f>44.53*1.05</f>
        <v>46.76</v>
      </c>
      <c r="G48" s="13">
        <f>ROUND(E48*F48,2)</f>
        <v>2338</v>
      </c>
      <c r="H48" s="12">
        <v>50</v>
      </c>
      <c r="I48" s="29">
        <v>0</v>
      </c>
      <c r="J48" s="13">
        <f>ROUND(H48*I48,2)</f>
        <v>0</v>
      </c>
    </row>
    <row r="49" spans="1:10" x14ac:dyDescent="0.3">
      <c r="A49" s="10" t="s">
        <v>86</v>
      </c>
      <c r="B49" s="11" t="s">
        <v>16</v>
      </c>
      <c r="C49" s="11" t="s">
        <v>17</v>
      </c>
      <c r="D49" s="24" t="s">
        <v>87</v>
      </c>
      <c r="E49" s="12">
        <v>584</v>
      </c>
      <c r="F49" s="12">
        <f>10.37*1.05</f>
        <v>10.89</v>
      </c>
      <c r="G49" s="13">
        <f>ROUND(E49*F49,2)</f>
        <v>6359.76</v>
      </c>
      <c r="H49" s="12">
        <v>584</v>
      </c>
      <c r="I49" s="29">
        <v>0</v>
      </c>
      <c r="J49" s="13">
        <f>ROUND(H49*I49,2)</f>
        <v>0</v>
      </c>
    </row>
    <row r="50" spans="1:10" x14ac:dyDescent="0.3">
      <c r="A50" s="10" t="s">
        <v>88</v>
      </c>
      <c r="B50" s="11" t="s">
        <v>16</v>
      </c>
      <c r="C50" s="11" t="s">
        <v>17</v>
      </c>
      <c r="D50" s="24" t="s">
        <v>89</v>
      </c>
      <c r="E50" s="12">
        <v>50</v>
      </c>
      <c r="F50" s="12">
        <f>3.74*1.05</f>
        <v>3.93</v>
      </c>
      <c r="G50" s="13">
        <f>ROUND(E50*F50,2)</f>
        <v>196.5</v>
      </c>
      <c r="H50" s="12">
        <v>50</v>
      </c>
      <c r="I50" s="29">
        <v>0</v>
      </c>
      <c r="J50" s="13">
        <f>ROUND(H50*I50,2)</f>
        <v>0</v>
      </c>
    </row>
    <row r="51" spans="1:10" x14ac:dyDescent="0.3">
      <c r="A51" s="14"/>
      <c r="B51" s="14"/>
      <c r="C51" s="14"/>
      <c r="D51" s="25" t="s">
        <v>90</v>
      </c>
      <c r="E51" s="12">
        <v>1</v>
      </c>
      <c r="F51" s="15">
        <f>SUM(G48:G50)</f>
        <v>8894.26</v>
      </c>
      <c r="G51" s="15">
        <f>ROUND(E51*F51,2)</f>
        <v>8894.26</v>
      </c>
      <c r="H51" s="12">
        <v>1</v>
      </c>
      <c r="I51" s="15">
        <f>SUM(J48:J50)</f>
        <v>0</v>
      </c>
      <c r="J51" s="15">
        <f>ROUND(H51*I51,2)</f>
        <v>0</v>
      </c>
    </row>
    <row r="52" spans="1:10" ht="1.05" customHeight="1" x14ac:dyDescent="0.3">
      <c r="A52" s="16"/>
      <c r="B52" s="16"/>
      <c r="C52" s="16"/>
      <c r="D52" s="26"/>
      <c r="E52" s="16"/>
      <c r="F52" s="16"/>
      <c r="G52" s="16"/>
      <c r="H52" s="16"/>
      <c r="I52" s="16"/>
      <c r="J52" s="16"/>
    </row>
    <row r="53" spans="1:10" x14ac:dyDescent="0.3">
      <c r="A53" s="17" t="s">
        <v>91</v>
      </c>
      <c r="B53" s="17" t="s">
        <v>10</v>
      </c>
      <c r="C53" s="17" t="s">
        <v>13</v>
      </c>
      <c r="D53" s="27" t="s">
        <v>92</v>
      </c>
      <c r="E53" s="18">
        <f t="shared" ref="E53:J53" si="14">E56</f>
        <v>1</v>
      </c>
      <c r="F53" s="18">
        <f t="shared" si="14"/>
        <v>2055.9</v>
      </c>
      <c r="G53" s="18">
        <f t="shared" si="14"/>
        <v>2055.9</v>
      </c>
      <c r="H53" s="18">
        <f t="shared" si="14"/>
        <v>1</v>
      </c>
      <c r="I53" s="18">
        <f t="shared" si="14"/>
        <v>0</v>
      </c>
      <c r="J53" s="18">
        <f t="shared" si="14"/>
        <v>0</v>
      </c>
    </row>
    <row r="54" spans="1:10" x14ac:dyDescent="0.3">
      <c r="A54" s="10" t="s">
        <v>93</v>
      </c>
      <c r="B54" s="11" t="s">
        <v>16</v>
      </c>
      <c r="C54" s="11" t="s">
        <v>13</v>
      </c>
      <c r="D54" s="24" t="s">
        <v>94</v>
      </c>
      <c r="E54" s="12">
        <v>1</v>
      </c>
      <c r="F54" s="12">
        <f>996*1.05</f>
        <v>1045.8</v>
      </c>
      <c r="G54" s="13">
        <f>ROUND(E54*F54,2)</f>
        <v>1045.8</v>
      </c>
      <c r="H54" s="12">
        <v>1</v>
      </c>
      <c r="I54" s="29">
        <v>0</v>
      </c>
      <c r="J54" s="13">
        <f>ROUND(H54*I54,2)</f>
        <v>0</v>
      </c>
    </row>
    <row r="55" spans="1:10" x14ac:dyDescent="0.3">
      <c r="A55" s="10" t="s">
        <v>95</v>
      </c>
      <c r="B55" s="11" t="s">
        <v>16</v>
      </c>
      <c r="C55" s="11" t="s">
        <v>13</v>
      </c>
      <c r="D55" s="24" t="s">
        <v>96</v>
      </c>
      <c r="E55" s="12">
        <v>1</v>
      </c>
      <c r="F55" s="12">
        <f>962*1.05</f>
        <v>1010.1</v>
      </c>
      <c r="G55" s="13">
        <f>ROUND(E55*F55,2)</f>
        <v>1010.1</v>
      </c>
      <c r="H55" s="12">
        <v>1</v>
      </c>
      <c r="I55" s="29">
        <v>0</v>
      </c>
      <c r="J55" s="13">
        <f>ROUND(H55*I55,2)</f>
        <v>0</v>
      </c>
    </row>
    <row r="56" spans="1:10" x14ac:dyDescent="0.3">
      <c r="A56" s="14"/>
      <c r="B56" s="14"/>
      <c r="C56" s="14"/>
      <c r="D56" s="25" t="s">
        <v>97</v>
      </c>
      <c r="E56" s="12">
        <v>1</v>
      </c>
      <c r="F56" s="15">
        <f>SUM(G54:G55)</f>
        <v>2055.9</v>
      </c>
      <c r="G56" s="15">
        <f>ROUND(E56*F56,2)</f>
        <v>2055.9</v>
      </c>
      <c r="H56" s="12">
        <v>1</v>
      </c>
      <c r="I56" s="15">
        <f>SUM(J54:J55)</f>
        <v>0</v>
      </c>
      <c r="J56" s="15">
        <f>ROUND(H56*I56,2)</f>
        <v>0</v>
      </c>
    </row>
    <row r="57" spans="1:10" ht="1.05" customHeight="1" x14ac:dyDescent="0.3">
      <c r="A57" s="16"/>
      <c r="B57" s="16"/>
      <c r="C57" s="16"/>
      <c r="D57" s="26"/>
      <c r="E57" s="16"/>
      <c r="F57" s="16"/>
      <c r="G57" s="16"/>
      <c r="H57" s="16"/>
      <c r="I57" s="16"/>
      <c r="J57" s="16"/>
    </row>
    <row r="58" spans="1:10" x14ac:dyDescent="0.3">
      <c r="A58" s="14"/>
      <c r="B58" s="14"/>
      <c r="C58" s="14"/>
      <c r="D58" s="25" t="s">
        <v>98</v>
      </c>
      <c r="E58" s="12">
        <v>1</v>
      </c>
      <c r="F58" s="15">
        <f>G27+G32+G37+G47+G53</f>
        <v>30708.94</v>
      </c>
      <c r="G58" s="15">
        <f>ROUND(E58*F58,2)</f>
        <v>30708.94</v>
      </c>
      <c r="H58" s="12">
        <v>1</v>
      </c>
      <c r="I58" s="15">
        <f>J27+J32+J37+J47+J53</f>
        <v>0</v>
      </c>
      <c r="J58" s="15">
        <f>ROUND(H58*I58,2)</f>
        <v>0</v>
      </c>
    </row>
    <row r="59" spans="1:10" ht="1.05" customHeight="1" x14ac:dyDescent="0.3">
      <c r="A59" s="16"/>
      <c r="B59" s="16"/>
      <c r="C59" s="16"/>
      <c r="D59" s="26"/>
      <c r="E59" s="16"/>
      <c r="F59" s="16"/>
      <c r="G59" s="16"/>
      <c r="H59" s="16"/>
      <c r="I59" s="16"/>
      <c r="J59" s="16"/>
    </row>
    <row r="60" spans="1:10" x14ac:dyDescent="0.3">
      <c r="A60" s="8" t="s">
        <v>99</v>
      </c>
      <c r="B60" s="8" t="s">
        <v>10</v>
      </c>
      <c r="C60" s="8" t="s">
        <v>13</v>
      </c>
      <c r="D60" s="23" t="s">
        <v>100</v>
      </c>
      <c r="E60" s="9">
        <f t="shared" ref="E60:J60" si="15">E65</f>
        <v>1</v>
      </c>
      <c r="F60" s="9">
        <f t="shared" si="15"/>
        <v>16594.96</v>
      </c>
      <c r="G60" s="9">
        <f t="shared" si="15"/>
        <v>16594.96</v>
      </c>
      <c r="H60" s="9">
        <f t="shared" si="15"/>
        <v>1</v>
      </c>
      <c r="I60" s="9">
        <f t="shared" si="15"/>
        <v>0</v>
      </c>
      <c r="J60" s="9">
        <f t="shared" si="15"/>
        <v>0</v>
      </c>
    </row>
    <row r="61" spans="1:10" x14ac:dyDescent="0.3">
      <c r="A61" s="10" t="s">
        <v>101</v>
      </c>
      <c r="B61" s="11" t="s">
        <v>16</v>
      </c>
      <c r="C61" s="11" t="s">
        <v>13</v>
      </c>
      <c r="D61" s="24" t="s">
        <v>102</v>
      </c>
      <c r="E61" s="12">
        <v>6</v>
      </c>
      <c r="F61" s="12">
        <f>1152.5*1.05</f>
        <v>1210.1300000000001</v>
      </c>
      <c r="G61" s="13">
        <f>ROUND(E61*F61,2)</f>
        <v>7260.78</v>
      </c>
      <c r="H61" s="12">
        <v>6</v>
      </c>
      <c r="I61" s="29">
        <v>0</v>
      </c>
      <c r="J61" s="13">
        <f>ROUND(H61*I61,2)</f>
        <v>0</v>
      </c>
    </row>
    <row r="62" spans="1:10" x14ac:dyDescent="0.3">
      <c r="A62" s="10" t="s">
        <v>103</v>
      </c>
      <c r="B62" s="11" t="s">
        <v>16</v>
      </c>
      <c r="C62" s="11" t="s">
        <v>13</v>
      </c>
      <c r="D62" s="24" t="s">
        <v>104</v>
      </c>
      <c r="E62" s="12">
        <v>4</v>
      </c>
      <c r="F62" s="12">
        <f>795*1.05</f>
        <v>834.75</v>
      </c>
      <c r="G62" s="13">
        <f>ROUND(E62*F62,2)</f>
        <v>3339</v>
      </c>
      <c r="H62" s="12">
        <v>4</v>
      </c>
      <c r="I62" s="29">
        <v>0</v>
      </c>
      <c r="J62" s="13">
        <f>ROUND(H62*I62,2)</f>
        <v>0</v>
      </c>
    </row>
    <row r="63" spans="1:10" x14ac:dyDescent="0.3">
      <c r="A63" s="10" t="s">
        <v>105</v>
      </c>
      <c r="B63" s="11" t="s">
        <v>16</v>
      </c>
      <c r="C63" s="11" t="s">
        <v>17</v>
      </c>
      <c r="D63" s="24" t="s">
        <v>106</v>
      </c>
      <c r="E63" s="12">
        <v>160</v>
      </c>
      <c r="F63" s="12">
        <f>25.68*1.05</f>
        <v>26.96</v>
      </c>
      <c r="G63" s="13">
        <f>ROUND(E63*F63,2)</f>
        <v>4313.6000000000004</v>
      </c>
      <c r="H63" s="12">
        <v>160</v>
      </c>
      <c r="I63" s="29">
        <v>0</v>
      </c>
      <c r="J63" s="13">
        <f>ROUND(H63*I63,2)</f>
        <v>0</v>
      </c>
    </row>
    <row r="64" spans="1:10" x14ac:dyDescent="0.3">
      <c r="A64" s="10" t="s">
        <v>107</v>
      </c>
      <c r="B64" s="11" t="s">
        <v>16</v>
      </c>
      <c r="C64" s="11" t="s">
        <v>13</v>
      </c>
      <c r="D64" s="24" t="s">
        <v>108</v>
      </c>
      <c r="E64" s="12">
        <v>1</v>
      </c>
      <c r="F64" s="12">
        <f>1601.5*1.05</f>
        <v>1681.58</v>
      </c>
      <c r="G64" s="13">
        <f>ROUND(E64*F64,2)</f>
        <v>1681.58</v>
      </c>
      <c r="H64" s="12">
        <v>1</v>
      </c>
      <c r="I64" s="29">
        <v>0</v>
      </c>
      <c r="J64" s="13">
        <f>ROUND(H64*I64,2)</f>
        <v>0</v>
      </c>
    </row>
    <row r="65" spans="1:10" x14ac:dyDescent="0.3">
      <c r="A65" s="14"/>
      <c r="B65" s="14"/>
      <c r="C65" s="14"/>
      <c r="D65" s="25" t="s">
        <v>109</v>
      </c>
      <c r="E65" s="12">
        <v>1</v>
      </c>
      <c r="F65" s="15">
        <f>SUM(G61:G64)</f>
        <v>16594.96</v>
      </c>
      <c r="G65" s="15">
        <f>ROUND(E65*F65,2)</f>
        <v>16594.96</v>
      </c>
      <c r="H65" s="12">
        <v>1</v>
      </c>
      <c r="I65" s="15">
        <f>SUM(J61:J64)</f>
        <v>0</v>
      </c>
      <c r="J65" s="15">
        <f>ROUND(H65*I65,2)</f>
        <v>0</v>
      </c>
    </row>
    <row r="66" spans="1:10" ht="1.05" customHeight="1" x14ac:dyDescent="0.3">
      <c r="A66" s="16"/>
      <c r="B66" s="16"/>
      <c r="C66" s="16"/>
      <c r="D66" s="26"/>
      <c r="E66" s="16"/>
      <c r="F66" s="16"/>
      <c r="G66" s="16"/>
      <c r="H66" s="16"/>
      <c r="I66" s="16"/>
      <c r="J66" s="16"/>
    </row>
    <row r="67" spans="1:10" x14ac:dyDescent="0.3">
      <c r="A67" s="8" t="s">
        <v>110</v>
      </c>
      <c r="B67" s="8" t="s">
        <v>10</v>
      </c>
      <c r="C67" s="8" t="s">
        <v>13</v>
      </c>
      <c r="D67" s="23" t="s">
        <v>111</v>
      </c>
      <c r="E67" s="9">
        <f t="shared" ref="E67:J67" si="16">E71</f>
        <v>1</v>
      </c>
      <c r="F67" s="9">
        <f t="shared" si="16"/>
        <v>7926.51</v>
      </c>
      <c r="G67" s="9">
        <f t="shared" si="16"/>
        <v>7926.51</v>
      </c>
      <c r="H67" s="9">
        <f t="shared" si="16"/>
        <v>1</v>
      </c>
      <c r="I67" s="9">
        <f t="shared" si="16"/>
        <v>0</v>
      </c>
      <c r="J67" s="9">
        <f t="shared" si="16"/>
        <v>0</v>
      </c>
    </row>
    <row r="68" spans="1:10" x14ac:dyDescent="0.3">
      <c r="A68" s="10" t="s">
        <v>112</v>
      </c>
      <c r="B68" s="11" t="s">
        <v>16</v>
      </c>
      <c r="C68" s="11" t="s">
        <v>13</v>
      </c>
      <c r="D68" s="24" t="s">
        <v>113</v>
      </c>
      <c r="E68" s="12">
        <v>1</v>
      </c>
      <c r="F68" s="12">
        <f>2176*1.05</f>
        <v>2284.8000000000002</v>
      </c>
      <c r="G68" s="13">
        <f>ROUND(E68*F68,2)</f>
        <v>2284.8000000000002</v>
      </c>
      <c r="H68" s="12">
        <v>1</v>
      </c>
      <c r="I68" s="29">
        <v>0</v>
      </c>
      <c r="J68" s="13">
        <f>ROUND(H68*I68,2)</f>
        <v>0</v>
      </c>
    </row>
    <row r="69" spans="1:10" x14ac:dyDescent="0.3">
      <c r="A69" s="10" t="s">
        <v>114</v>
      </c>
      <c r="B69" s="11" t="s">
        <v>16</v>
      </c>
      <c r="C69" s="11" t="s">
        <v>13</v>
      </c>
      <c r="D69" s="24" t="s">
        <v>115</v>
      </c>
      <c r="E69" s="12">
        <v>1</v>
      </c>
      <c r="F69" s="12">
        <f>1678*1.05</f>
        <v>1761.9</v>
      </c>
      <c r="G69" s="13">
        <f>ROUND(E69*F69,2)</f>
        <v>1761.9</v>
      </c>
      <c r="H69" s="12">
        <v>1</v>
      </c>
      <c r="I69" s="29">
        <v>0</v>
      </c>
      <c r="J69" s="13">
        <f>ROUND(H69*I69,2)</f>
        <v>0</v>
      </c>
    </row>
    <row r="70" spans="1:10" ht="20.399999999999999" x14ac:dyDescent="0.3">
      <c r="A70" s="10" t="s">
        <v>116</v>
      </c>
      <c r="B70" s="11" t="s">
        <v>16</v>
      </c>
      <c r="C70" s="11" t="s">
        <v>13</v>
      </c>
      <c r="D70" s="24" t="s">
        <v>117</v>
      </c>
      <c r="E70" s="12">
        <v>1</v>
      </c>
      <c r="F70" s="12">
        <f>3695.06*1.05</f>
        <v>3879.81</v>
      </c>
      <c r="G70" s="13">
        <f>ROUND(E70*F70,2)</f>
        <v>3879.81</v>
      </c>
      <c r="H70" s="12">
        <v>1</v>
      </c>
      <c r="I70" s="29">
        <v>0</v>
      </c>
      <c r="J70" s="13">
        <f>ROUND(H70*I70,2)</f>
        <v>0</v>
      </c>
    </row>
    <row r="71" spans="1:10" x14ac:dyDescent="0.3">
      <c r="A71" s="14"/>
      <c r="B71" s="14"/>
      <c r="C71" s="14"/>
      <c r="D71" s="25" t="s">
        <v>118</v>
      </c>
      <c r="E71" s="12">
        <v>1</v>
      </c>
      <c r="F71" s="15">
        <f>SUM(G68:G70)</f>
        <v>7926.51</v>
      </c>
      <c r="G71" s="15">
        <f>ROUND(E71*F71,2)</f>
        <v>7926.51</v>
      </c>
      <c r="H71" s="12">
        <v>1</v>
      </c>
      <c r="I71" s="15">
        <f>SUM(J68:J70)</f>
        <v>0</v>
      </c>
      <c r="J71" s="15">
        <f>ROUND(H71*I71,2)</f>
        <v>0</v>
      </c>
    </row>
    <row r="72" spans="1:10" ht="1.05" customHeight="1" x14ac:dyDescent="0.3">
      <c r="A72" s="16"/>
      <c r="B72" s="16"/>
      <c r="C72" s="16"/>
      <c r="D72" s="26"/>
      <c r="E72" s="16"/>
      <c r="F72" s="16"/>
      <c r="G72" s="16"/>
      <c r="H72" s="16"/>
      <c r="I72" s="16"/>
      <c r="J72" s="16"/>
    </row>
    <row r="73" spans="1:10" x14ac:dyDescent="0.3">
      <c r="A73" s="14"/>
      <c r="B73" s="14"/>
      <c r="C73" s="14"/>
      <c r="D73" s="25" t="s">
        <v>119</v>
      </c>
      <c r="E73" s="19">
        <v>1</v>
      </c>
      <c r="F73" s="15">
        <f>G5+G18+G26+G60+G67</f>
        <v>235112.95999999999</v>
      </c>
      <c r="G73" s="15">
        <f>ROUND(E73*F73,2)</f>
        <v>235112.95999999999</v>
      </c>
      <c r="H73" s="19">
        <v>1</v>
      </c>
      <c r="I73" s="15">
        <f>J5+J18+J26+J60+J67</f>
        <v>0</v>
      </c>
      <c r="J73" s="15">
        <f>ROUND(H73*I73,2)</f>
        <v>0</v>
      </c>
    </row>
    <row r="74" spans="1:10" ht="1.05" customHeight="1" x14ac:dyDescent="0.3">
      <c r="A74" s="16"/>
      <c r="B74" s="16"/>
      <c r="C74" s="16"/>
      <c r="D74" s="26"/>
      <c r="E74" s="16"/>
      <c r="F74" s="16"/>
      <c r="G74" s="16"/>
      <c r="H74" s="16"/>
      <c r="I74" s="16"/>
      <c r="J74" s="16"/>
    </row>
    <row r="75" spans="1:10" x14ac:dyDescent="0.3">
      <c r="A75" s="5" t="s">
        <v>120</v>
      </c>
      <c r="B75" s="5" t="s">
        <v>10</v>
      </c>
      <c r="C75" s="5" t="s">
        <v>4</v>
      </c>
      <c r="D75" s="22" t="s">
        <v>121</v>
      </c>
      <c r="E75" s="6">
        <f t="shared" ref="E75:J75" si="17">E148</f>
        <v>1</v>
      </c>
      <c r="F75" s="7">
        <f t="shared" si="17"/>
        <v>154386.04</v>
      </c>
      <c r="G75" s="7">
        <f t="shared" si="17"/>
        <v>154386.04</v>
      </c>
      <c r="H75" s="6">
        <f t="shared" si="17"/>
        <v>1</v>
      </c>
      <c r="I75" s="7">
        <f t="shared" si="17"/>
        <v>0</v>
      </c>
      <c r="J75" s="7">
        <f t="shared" si="17"/>
        <v>0</v>
      </c>
    </row>
    <row r="76" spans="1:10" x14ac:dyDescent="0.3">
      <c r="A76" s="8" t="s">
        <v>122</v>
      </c>
      <c r="B76" s="8" t="s">
        <v>10</v>
      </c>
      <c r="C76" s="8" t="s">
        <v>13</v>
      </c>
      <c r="D76" s="23" t="s">
        <v>14</v>
      </c>
      <c r="E76" s="9">
        <f t="shared" ref="E76:J76" si="18">E88</f>
        <v>1</v>
      </c>
      <c r="F76" s="9">
        <f t="shared" si="18"/>
        <v>97155.85</v>
      </c>
      <c r="G76" s="9">
        <f t="shared" si="18"/>
        <v>97155.85</v>
      </c>
      <c r="H76" s="9">
        <f t="shared" si="18"/>
        <v>1</v>
      </c>
      <c r="I76" s="9">
        <f t="shared" si="18"/>
        <v>0</v>
      </c>
      <c r="J76" s="9">
        <f t="shared" si="18"/>
        <v>0</v>
      </c>
    </row>
    <row r="77" spans="1:10" x14ac:dyDescent="0.3">
      <c r="A77" s="10" t="s">
        <v>123</v>
      </c>
      <c r="B77" s="11" t="s">
        <v>16</v>
      </c>
      <c r="C77" s="11" t="s">
        <v>17</v>
      </c>
      <c r="D77" s="24" t="s">
        <v>124</v>
      </c>
      <c r="E77" s="12">
        <v>92</v>
      </c>
      <c r="F77" s="12">
        <f>494.41*1.05</f>
        <v>519.13</v>
      </c>
      <c r="G77" s="13">
        <f t="shared" ref="G77:G88" si="19">ROUND(E77*F77,2)</f>
        <v>47759.96</v>
      </c>
      <c r="H77" s="12">
        <v>92</v>
      </c>
      <c r="I77" s="29">
        <v>0</v>
      </c>
      <c r="J77" s="13">
        <f t="shared" ref="J77:J88" si="20">ROUND(H77*I77,2)</f>
        <v>0</v>
      </c>
    </row>
    <row r="78" spans="1:10" ht="20.399999999999999" x14ac:dyDescent="0.3">
      <c r="A78" s="10" t="s">
        <v>19</v>
      </c>
      <c r="B78" s="11" t="s">
        <v>16</v>
      </c>
      <c r="C78" s="11" t="s">
        <v>13</v>
      </c>
      <c r="D78" s="24" t="s">
        <v>20</v>
      </c>
      <c r="E78" s="12">
        <v>6</v>
      </c>
      <c r="F78" s="12">
        <f>2889.6*1.05</f>
        <v>3034.08</v>
      </c>
      <c r="G78" s="13">
        <f t="shared" si="19"/>
        <v>18204.48</v>
      </c>
      <c r="H78" s="12">
        <v>6</v>
      </c>
      <c r="I78" s="29">
        <v>0</v>
      </c>
      <c r="J78" s="13">
        <f t="shared" si="20"/>
        <v>0</v>
      </c>
    </row>
    <row r="79" spans="1:10" x14ac:dyDescent="0.3">
      <c r="A79" s="10" t="s">
        <v>21</v>
      </c>
      <c r="B79" s="11" t="s">
        <v>16</v>
      </c>
      <c r="C79" s="11" t="s">
        <v>13</v>
      </c>
      <c r="D79" s="24" t="s">
        <v>22</v>
      </c>
      <c r="E79" s="12">
        <v>1</v>
      </c>
      <c r="F79" s="12">
        <f>2727.2*1.05</f>
        <v>2863.56</v>
      </c>
      <c r="G79" s="13">
        <f t="shared" si="19"/>
        <v>2863.56</v>
      </c>
      <c r="H79" s="12">
        <v>1</v>
      </c>
      <c r="I79" s="29">
        <v>0</v>
      </c>
      <c r="J79" s="13">
        <f t="shared" si="20"/>
        <v>0</v>
      </c>
    </row>
    <row r="80" spans="1:10" x14ac:dyDescent="0.3">
      <c r="A80" s="10" t="s">
        <v>23</v>
      </c>
      <c r="B80" s="11" t="s">
        <v>16</v>
      </c>
      <c r="C80" s="11" t="s">
        <v>13</v>
      </c>
      <c r="D80" s="24" t="s">
        <v>24</v>
      </c>
      <c r="E80" s="12">
        <v>1</v>
      </c>
      <c r="F80" s="12">
        <f>3718.4*1.05</f>
        <v>3904.32</v>
      </c>
      <c r="G80" s="13">
        <f t="shared" si="19"/>
        <v>3904.32</v>
      </c>
      <c r="H80" s="12">
        <v>1</v>
      </c>
      <c r="I80" s="29">
        <v>0</v>
      </c>
      <c r="J80" s="13">
        <f t="shared" si="20"/>
        <v>0</v>
      </c>
    </row>
    <row r="81" spans="1:10" x14ac:dyDescent="0.3">
      <c r="A81" s="10" t="s">
        <v>25</v>
      </c>
      <c r="B81" s="11" t="s">
        <v>16</v>
      </c>
      <c r="C81" s="11" t="s">
        <v>13</v>
      </c>
      <c r="D81" s="24" t="s">
        <v>26</v>
      </c>
      <c r="E81" s="12">
        <v>2</v>
      </c>
      <c r="F81" s="12">
        <f>1338*1.05</f>
        <v>1404.9</v>
      </c>
      <c r="G81" s="13">
        <f t="shared" si="19"/>
        <v>2809.8</v>
      </c>
      <c r="H81" s="12">
        <v>2</v>
      </c>
      <c r="I81" s="29">
        <v>0</v>
      </c>
      <c r="J81" s="13">
        <f t="shared" si="20"/>
        <v>0</v>
      </c>
    </row>
    <row r="82" spans="1:10" ht="20.399999999999999" x14ac:dyDescent="0.3">
      <c r="A82" s="10" t="s">
        <v>27</v>
      </c>
      <c r="B82" s="11" t="s">
        <v>16</v>
      </c>
      <c r="C82" s="11" t="s">
        <v>17</v>
      </c>
      <c r="D82" s="24" t="s">
        <v>28</v>
      </c>
      <c r="E82" s="12">
        <v>73</v>
      </c>
      <c r="F82" s="12">
        <f>50.6*1.05</f>
        <v>53.13</v>
      </c>
      <c r="G82" s="13">
        <f t="shared" si="19"/>
        <v>3878.49</v>
      </c>
      <c r="H82" s="12">
        <v>73</v>
      </c>
      <c r="I82" s="29">
        <v>0</v>
      </c>
      <c r="J82" s="13">
        <f t="shared" si="20"/>
        <v>0</v>
      </c>
    </row>
    <row r="83" spans="1:10" ht="20.399999999999999" x14ac:dyDescent="0.3">
      <c r="A83" s="10" t="s">
        <v>29</v>
      </c>
      <c r="B83" s="11" t="s">
        <v>16</v>
      </c>
      <c r="C83" s="11" t="s">
        <v>17</v>
      </c>
      <c r="D83" s="24" t="s">
        <v>30</v>
      </c>
      <c r="E83" s="12">
        <v>32</v>
      </c>
      <c r="F83" s="12">
        <f>56.36*1.05</f>
        <v>59.18</v>
      </c>
      <c r="G83" s="13">
        <f t="shared" si="19"/>
        <v>1893.76</v>
      </c>
      <c r="H83" s="12">
        <v>32</v>
      </c>
      <c r="I83" s="29">
        <v>0</v>
      </c>
      <c r="J83" s="13">
        <f t="shared" si="20"/>
        <v>0</v>
      </c>
    </row>
    <row r="84" spans="1:10" ht="20.399999999999999" x14ac:dyDescent="0.3">
      <c r="A84" s="10" t="s">
        <v>31</v>
      </c>
      <c r="B84" s="11" t="s">
        <v>16</v>
      </c>
      <c r="C84" s="11" t="s">
        <v>17</v>
      </c>
      <c r="D84" s="24" t="s">
        <v>32</v>
      </c>
      <c r="E84" s="12">
        <v>16</v>
      </c>
      <c r="F84" s="12">
        <f>290.6*1.05</f>
        <v>305.13</v>
      </c>
      <c r="G84" s="13">
        <f t="shared" si="19"/>
        <v>4882.08</v>
      </c>
      <c r="H84" s="12">
        <v>16</v>
      </c>
      <c r="I84" s="29">
        <v>0</v>
      </c>
      <c r="J84" s="13">
        <f t="shared" si="20"/>
        <v>0</v>
      </c>
    </row>
    <row r="85" spans="1:10" x14ac:dyDescent="0.3">
      <c r="A85" s="10" t="s">
        <v>125</v>
      </c>
      <c r="B85" s="11" t="s">
        <v>16</v>
      </c>
      <c r="C85" s="11" t="s">
        <v>13</v>
      </c>
      <c r="D85" s="24" t="s">
        <v>126</v>
      </c>
      <c r="E85" s="12">
        <v>2</v>
      </c>
      <c r="F85" s="12">
        <f>2898.93*1.05</f>
        <v>3043.88</v>
      </c>
      <c r="G85" s="13">
        <f t="shared" si="19"/>
        <v>6087.76</v>
      </c>
      <c r="H85" s="12">
        <v>2</v>
      </c>
      <c r="I85" s="29">
        <v>0</v>
      </c>
      <c r="J85" s="13">
        <f t="shared" si="20"/>
        <v>0</v>
      </c>
    </row>
    <row r="86" spans="1:10" x14ac:dyDescent="0.3">
      <c r="A86" s="10" t="s">
        <v>127</v>
      </c>
      <c r="B86" s="11" t="s">
        <v>16</v>
      </c>
      <c r="C86" s="11" t="s">
        <v>13</v>
      </c>
      <c r="D86" s="24" t="s">
        <v>128</v>
      </c>
      <c r="E86" s="12">
        <v>3</v>
      </c>
      <c r="F86" s="12">
        <f>895.35*1.05</f>
        <v>940.12</v>
      </c>
      <c r="G86" s="13">
        <f t="shared" si="19"/>
        <v>2820.36</v>
      </c>
      <c r="H86" s="12">
        <v>3</v>
      </c>
      <c r="I86" s="29">
        <v>0</v>
      </c>
      <c r="J86" s="13">
        <f t="shared" si="20"/>
        <v>0</v>
      </c>
    </row>
    <row r="87" spans="1:10" x14ac:dyDescent="0.3">
      <c r="A87" s="10" t="s">
        <v>129</v>
      </c>
      <c r="B87" s="11" t="s">
        <v>16</v>
      </c>
      <c r="C87" s="11" t="s">
        <v>13</v>
      </c>
      <c r="D87" s="24" t="s">
        <v>130</v>
      </c>
      <c r="E87" s="12">
        <v>6</v>
      </c>
      <c r="F87" s="12">
        <f>325.6*1.05</f>
        <v>341.88</v>
      </c>
      <c r="G87" s="13">
        <f t="shared" si="19"/>
        <v>2051.2800000000002</v>
      </c>
      <c r="H87" s="12">
        <v>6</v>
      </c>
      <c r="I87" s="29">
        <v>0</v>
      </c>
      <c r="J87" s="13">
        <f t="shared" si="20"/>
        <v>0</v>
      </c>
    </row>
    <row r="88" spans="1:10" x14ac:dyDescent="0.3">
      <c r="A88" s="14"/>
      <c r="B88" s="14"/>
      <c r="C88" s="14"/>
      <c r="D88" s="25" t="s">
        <v>131</v>
      </c>
      <c r="E88" s="12">
        <v>1</v>
      </c>
      <c r="F88" s="15">
        <f>SUM(G77:G87)</f>
        <v>97155.85</v>
      </c>
      <c r="G88" s="15">
        <f t="shared" si="19"/>
        <v>97155.85</v>
      </c>
      <c r="H88" s="12">
        <v>1</v>
      </c>
      <c r="I88" s="15">
        <f>SUM(J77:J87)</f>
        <v>0</v>
      </c>
      <c r="J88" s="15">
        <f t="shared" si="20"/>
        <v>0</v>
      </c>
    </row>
    <row r="89" spans="1:10" ht="1.05" customHeight="1" x14ac:dyDescent="0.3">
      <c r="A89" s="16"/>
      <c r="B89" s="16"/>
      <c r="C89" s="16"/>
      <c r="D89" s="26"/>
      <c r="E89" s="16"/>
      <c r="F89" s="16"/>
      <c r="G89" s="16"/>
      <c r="H89" s="16"/>
      <c r="I89" s="16"/>
      <c r="J89" s="16"/>
    </row>
    <row r="90" spans="1:10" x14ac:dyDescent="0.3">
      <c r="A90" s="8" t="s">
        <v>132</v>
      </c>
      <c r="B90" s="8" t="s">
        <v>10</v>
      </c>
      <c r="C90" s="8" t="s">
        <v>13</v>
      </c>
      <c r="D90" s="23" t="s">
        <v>39</v>
      </c>
      <c r="E90" s="9">
        <f t="shared" ref="E90:J90" si="21">E96</f>
        <v>1</v>
      </c>
      <c r="F90" s="9">
        <f t="shared" si="21"/>
        <v>5181.6899999999996</v>
      </c>
      <c r="G90" s="9">
        <f t="shared" si="21"/>
        <v>5181.6899999999996</v>
      </c>
      <c r="H90" s="9">
        <f t="shared" si="21"/>
        <v>1</v>
      </c>
      <c r="I90" s="9">
        <f t="shared" si="21"/>
        <v>0</v>
      </c>
      <c r="J90" s="9">
        <f t="shared" si="21"/>
        <v>0</v>
      </c>
    </row>
    <row r="91" spans="1:10" x14ac:dyDescent="0.3">
      <c r="A91" s="10" t="s">
        <v>133</v>
      </c>
      <c r="B91" s="11" t="s">
        <v>16</v>
      </c>
      <c r="C91" s="11" t="s">
        <v>13</v>
      </c>
      <c r="D91" s="24" t="s">
        <v>41</v>
      </c>
      <c r="E91" s="12">
        <v>1</v>
      </c>
      <c r="F91" s="12">
        <f>804*1.05</f>
        <v>844.2</v>
      </c>
      <c r="G91" s="13">
        <f t="shared" ref="G91:G96" si="22">ROUND(E91*F91,2)</f>
        <v>844.2</v>
      </c>
      <c r="H91" s="12">
        <v>1</v>
      </c>
      <c r="I91" s="29">
        <v>0</v>
      </c>
      <c r="J91" s="13">
        <f t="shared" ref="J91:J96" si="23">ROUND(H91*I91,2)</f>
        <v>0</v>
      </c>
    </row>
    <row r="92" spans="1:10" x14ac:dyDescent="0.3">
      <c r="A92" s="10" t="s">
        <v>42</v>
      </c>
      <c r="B92" s="11" t="s">
        <v>16</v>
      </c>
      <c r="C92" s="11" t="s">
        <v>13</v>
      </c>
      <c r="D92" s="24" t="s">
        <v>43</v>
      </c>
      <c r="E92" s="12">
        <v>6</v>
      </c>
      <c r="F92" s="12">
        <f>99.6*1.05</f>
        <v>104.58</v>
      </c>
      <c r="G92" s="13">
        <f t="shared" si="22"/>
        <v>627.48</v>
      </c>
      <c r="H92" s="12">
        <v>6</v>
      </c>
      <c r="I92" s="29">
        <v>0</v>
      </c>
      <c r="J92" s="13">
        <f t="shared" si="23"/>
        <v>0</v>
      </c>
    </row>
    <row r="93" spans="1:10" x14ac:dyDescent="0.3">
      <c r="A93" s="10" t="s">
        <v>44</v>
      </c>
      <c r="B93" s="11" t="s">
        <v>16</v>
      </c>
      <c r="C93" s="11" t="s">
        <v>13</v>
      </c>
      <c r="D93" s="24" t="s">
        <v>45</v>
      </c>
      <c r="E93" s="12">
        <v>6</v>
      </c>
      <c r="F93" s="12">
        <f>261.6*1.05</f>
        <v>274.68</v>
      </c>
      <c r="G93" s="13">
        <f t="shared" si="22"/>
        <v>1648.08</v>
      </c>
      <c r="H93" s="12">
        <v>6</v>
      </c>
      <c r="I93" s="29">
        <v>0</v>
      </c>
      <c r="J93" s="13">
        <f t="shared" si="23"/>
        <v>0</v>
      </c>
    </row>
    <row r="94" spans="1:10" x14ac:dyDescent="0.3">
      <c r="A94" s="10" t="s">
        <v>46</v>
      </c>
      <c r="B94" s="11" t="s">
        <v>16</v>
      </c>
      <c r="C94" s="11" t="s">
        <v>13</v>
      </c>
      <c r="D94" s="24" t="s">
        <v>47</v>
      </c>
      <c r="E94" s="12">
        <v>3</v>
      </c>
      <c r="F94" s="12">
        <f>118.43*1.05</f>
        <v>124.35</v>
      </c>
      <c r="G94" s="13">
        <f t="shared" si="22"/>
        <v>373.05</v>
      </c>
      <c r="H94" s="12">
        <v>3</v>
      </c>
      <c r="I94" s="29">
        <v>0</v>
      </c>
      <c r="J94" s="13">
        <f t="shared" si="23"/>
        <v>0</v>
      </c>
    </row>
    <row r="95" spans="1:10" x14ac:dyDescent="0.3">
      <c r="A95" s="10" t="s">
        <v>48</v>
      </c>
      <c r="B95" s="11" t="s">
        <v>16</v>
      </c>
      <c r="C95" s="11" t="s">
        <v>17</v>
      </c>
      <c r="D95" s="24" t="s">
        <v>49</v>
      </c>
      <c r="E95" s="12">
        <v>248</v>
      </c>
      <c r="F95" s="12">
        <f>6.49*1.05</f>
        <v>6.81</v>
      </c>
      <c r="G95" s="13">
        <f t="shared" si="22"/>
        <v>1688.88</v>
      </c>
      <c r="H95" s="12">
        <v>248</v>
      </c>
      <c r="I95" s="29">
        <v>0</v>
      </c>
      <c r="J95" s="13">
        <f t="shared" si="23"/>
        <v>0</v>
      </c>
    </row>
    <row r="96" spans="1:10" x14ac:dyDescent="0.3">
      <c r="A96" s="14"/>
      <c r="B96" s="14"/>
      <c r="C96" s="14"/>
      <c r="D96" s="25" t="s">
        <v>134</v>
      </c>
      <c r="E96" s="12">
        <v>1</v>
      </c>
      <c r="F96" s="15">
        <f>SUM(G91:G95)</f>
        <v>5181.6899999999996</v>
      </c>
      <c r="G96" s="15">
        <f t="shared" si="22"/>
        <v>5181.6899999999996</v>
      </c>
      <c r="H96" s="12">
        <v>1</v>
      </c>
      <c r="I96" s="15">
        <f>SUM(J91:J95)</f>
        <v>0</v>
      </c>
      <c r="J96" s="15">
        <f t="shared" si="23"/>
        <v>0</v>
      </c>
    </row>
    <row r="97" spans="1:10" ht="1.05" customHeight="1" x14ac:dyDescent="0.3">
      <c r="A97" s="16"/>
      <c r="B97" s="16"/>
      <c r="C97" s="16"/>
      <c r="D97" s="26"/>
      <c r="E97" s="16"/>
      <c r="F97" s="16"/>
      <c r="G97" s="16"/>
      <c r="H97" s="16"/>
      <c r="I97" s="16"/>
      <c r="J97" s="16"/>
    </row>
    <row r="98" spans="1:10" x14ac:dyDescent="0.3">
      <c r="A98" s="8" t="s">
        <v>135</v>
      </c>
      <c r="B98" s="8" t="s">
        <v>10</v>
      </c>
      <c r="C98" s="8" t="s">
        <v>13</v>
      </c>
      <c r="D98" s="23" t="s">
        <v>52</v>
      </c>
      <c r="E98" s="9">
        <f t="shared" ref="E98:J98" si="24">E133</f>
        <v>1</v>
      </c>
      <c r="F98" s="9">
        <f t="shared" si="24"/>
        <v>31189.51</v>
      </c>
      <c r="G98" s="9">
        <f t="shared" si="24"/>
        <v>31189.51</v>
      </c>
      <c r="H98" s="9">
        <f t="shared" si="24"/>
        <v>1</v>
      </c>
      <c r="I98" s="9">
        <f t="shared" si="24"/>
        <v>0</v>
      </c>
      <c r="J98" s="9">
        <f t="shared" si="24"/>
        <v>0</v>
      </c>
    </row>
    <row r="99" spans="1:10" x14ac:dyDescent="0.3">
      <c r="A99" s="17" t="s">
        <v>136</v>
      </c>
      <c r="B99" s="17" t="s">
        <v>10</v>
      </c>
      <c r="C99" s="17" t="s">
        <v>13</v>
      </c>
      <c r="D99" s="27" t="s">
        <v>54</v>
      </c>
      <c r="E99" s="18">
        <f t="shared" ref="E99:J99" si="25">E102</f>
        <v>1</v>
      </c>
      <c r="F99" s="18">
        <f t="shared" si="25"/>
        <v>2456.92</v>
      </c>
      <c r="G99" s="18">
        <f t="shared" si="25"/>
        <v>2456.92</v>
      </c>
      <c r="H99" s="18">
        <f t="shared" si="25"/>
        <v>1</v>
      </c>
      <c r="I99" s="18">
        <f t="shared" si="25"/>
        <v>0</v>
      </c>
      <c r="J99" s="18">
        <f t="shared" si="25"/>
        <v>0</v>
      </c>
    </row>
    <row r="100" spans="1:10" x14ac:dyDescent="0.3">
      <c r="A100" s="10" t="s">
        <v>137</v>
      </c>
      <c r="B100" s="11" t="s">
        <v>16</v>
      </c>
      <c r="C100" s="11" t="s">
        <v>13</v>
      </c>
      <c r="D100" s="24" t="s">
        <v>138</v>
      </c>
      <c r="E100" s="12">
        <v>1</v>
      </c>
      <c r="F100" s="12">
        <f>2209.27*1.05</f>
        <v>2319.73</v>
      </c>
      <c r="G100" s="13">
        <f>ROUND(E100*F100,2)</f>
        <v>2319.73</v>
      </c>
      <c r="H100" s="12">
        <v>1</v>
      </c>
      <c r="I100" s="29">
        <v>0</v>
      </c>
      <c r="J100" s="13">
        <f>ROUND(H100*I100,2)</f>
        <v>0</v>
      </c>
    </row>
    <row r="101" spans="1:10" x14ac:dyDescent="0.3">
      <c r="A101" s="10" t="s">
        <v>57</v>
      </c>
      <c r="B101" s="11" t="s">
        <v>16</v>
      </c>
      <c r="C101" s="11" t="s">
        <v>13</v>
      </c>
      <c r="D101" s="24" t="s">
        <v>58</v>
      </c>
      <c r="E101" s="12">
        <v>1</v>
      </c>
      <c r="F101" s="12">
        <f>130.66*1.05</f>
        <v>137.19</v>
      </c>
      <c r="G101" s="13">
        <f>ROUND(E101*F101,2)</f>
        <v>137.19</v>
      </c>
      <c r="H101" s="12">
        <v>1</v>
      </c>
      <c r="I101" s="29">
        <v>0</v>
      </c>
      <c r="J101" s="13">
        <f>ROUND(H101*I101,2)</f>
        <v>0</v>
      </c>
    </row>
    <row r="102" spans="1:10" x14ac:dyDescent="0.3">
      <c r="A102" s="14"/>
      <c r="B102" s="14"/>
      <c r="C102" s="14"/>
      <c r="D102" s="25" t="s">
        <v>139</v>
      </c>
      <c r="E102" s="12">
        <v>1</v>
      </c>
      <c r="F102" s="15">
        <f>SUM(G100:G101)</f>
        <v>2456.92</v>
      </c>
      <c r="G102" s="15">
        <f>ROUND(E102*F102,2)</f>
        <v>2456.92</v>
      </c>
      <c r="H102" s="12">
        <v>1</v>
      </c>
      <c r="I102" s="15">
        <f>SUM(J100:J101)</f>
        <v>0</v>
      </c>
      <c r="J102" s="15">
        <f>ROUND(H102*I102,2)</f>
        <v>0</v>
      </c>
    </row>
    <row r="103" spans="1:10" ht="1.05" customHeight="1" x14ac:dyDescent="0.3">
      <c r="A103" s="16"/>
      <c r="B103" s="16"/>
      <c r="C103" s="16"/>
      <c r="D103" s="26"/>
      <c r="E103" s="16"/>
      <c r="F103" s="16"/>
      <c r="G103" s="16"/>
      <c r="H103" s="16"/>
      <c r="I103" s="16"/>
      <c r="J103" s="16"/>
    </row>
    <row r="104" spans="1:10" x14ac:dyDescent="0.3">
      <c r="A104" s="17" t="s">
        <v>140</v>
      </c>
      <c r="B104" s="17" t="s">
        <v>10</v>
      </c>
      <c r="C104" s="17" t="s">
        <v>13</v>
      </c>
      <c r="D104" s="27" t="s">
        <v>61</v>
      </c>
      <c r="E104" s="18">
        <f t="shared" ref="E104:J104" si="26">E107</f>
        <v>1</v>
      </c>
      <c r="F104" s="18">
        <f t="shared" si="26"/>
        <v>6584.11</v>
      </c>
      <c r="G104" s="18">
        <f t="shared" si="26"/>
        <v>6584.11</v>
      </c>
      <c r="H104" s="18">
        <f t="shared" si="26"/>
        <v>1</v>
      </c>
      <c r="I104" s="18">
        <f t="shared" si="26"/>
        <v>0</v>
      </c>
      <c r="J104" s="18">
        <f t="shared" si="26"/>
        <v>0</v>
      </c>
    </row>
    <row r="105" spans="1:10" x14ac:dyDescent="0.3">
      <c r="A105" s="10" t="s">
        <v>141</v>
      </c>
      <c r="B105" s="11" t="s">
        <v>16</v>
      </c>
      <c r="C105" s="11" t="s">
        <v>13</v>
      </c>
      <c r="D105" s="24" t="s">
        <v>142</v>
      </c>
      <c r="E105" s="12">
        <v>1</v>
      </c>
      <c r="F105" s="12">
        <f>4150.47*1.05</f>
        <v>4357.99</v>
      </c>
      <c r="G105" s="13">
        <f>ROUND(E105*F105,2)</f>
        <v>4357.99</v>
      </c>
      <c r="H105" s="12">
        <v>1</v>
      </c>
      <c r="I105" s="29">
        <v>0</v>
      </c>
      <c r="J105" s="13">
        <f>ROUND(H105*I105,2)</f>
        <v>0</v>
      </c>
    </row>
    <row r="106" spans="1:10" x14ac:dyDescent="0.3">
      <c r="A106" s="10" t="s">
        <v>143</v>
      </c>
      <c r="B106" s="11" t="s">
        <v>16</v>
      </c>
      <c r="C106" s="11" t="s">
        <v>13</v>
      </c>
      <c r="D106" s="24" t="s">
        <v>144</v>
      </c>
      <c r="E106" s="12">
        <v>1</v>
      </c>
      <c r="F106" s="12">
        <f>2120.11*1.05</f>
        <v>2226.12</v>
      </c>
      <c r="G106" s="13">
        <f>ROUND(E106*F106,2)</f>
        <v>2226.12</v>
      </c>
      <c r="H106" s="12">
        <v>1</v>
      </c>
      <c r="I106" s="29">
        <v>0</v>
      </c>
      <c r="J106" s="13">
        <f>ROUND(H106*I106,2)</f>
        <v>0</v>
      </c>
    </row>
    <row r="107" spans="1:10" x14ac:dyDescent="0.3">
      <c r="A107" s="14"/>
      <c r="B107" s="14"/>
      <c r="C107" s="14"/>
      <c r="D107" s="25" t="s">
        <v>145</v>
      </c>
      <c r="E107" s="12">
        <v>1</v>
      </c>
      <c r="F107" s="15">
        <f>SUM(G105:G106)</f>
        <v>6584.11</v>
      </c>
      <c r="G107" s="15">
        <f>ROUND(E107*F107,2)</f>
        <v>6584.11</v>
      </c>
      <c r="H107" s="12">
        <v>1</v>
      </c>
      <c r="I107" s="15">
        <f>SUM(J105:J106)</f>
        <v>0</v>
      </c>
      <c r="J107" s="15">
        <f>ROUND(H107*I107,2)</f>
        <v>0</v>
      </c>
    </row>
    <row r="108" spans="1:10" ht="1.05" customHeight="1" x14ac:dyDescent="0.3">
      <c r="A108" s="16"/>
      <c r="B108" s="16"/>
      <c r="C108" s="16"/>
      <c r="D108" s="26"/>
      <c r="E108" s="16"/>
      <c r="F108" s="16"/>
      <c r="G108" s="16"/>
      <c r="H108" s="16"/>
      <c r="I108" s="16"/>
      <c r="J108" s="16"/>
    </row>
    <row r="109" spans="1:10" x14ac:dyDescent="0.3">
      <c r="A109" s="17" t="s">
        <v>146</v>
      </c>
      <c r="B109" s="17" t="s">
        <v>10</v>
      </c>
      <c r="C109" s="17" t="s">
        <v>13</v>
      </c>
      <c r="D109" s="27" t="s">
        <v>66</v>
      </c>
      <c r="E109" s="18">
        <f t="shared" ref="E109:J109" si="27">E118</f>
        <v>1</v>
      </c>
      <c r="F109" s="18">
        <f t="shared" si="27"/>
        <v>10819.61</v>
      </c>
      <c r="G109" s="18">
        <f t="shared" si="27"/>
        <v>10819.61</v>
      </c>
      <c r="H109" s="18">
        <f t="shared" si="27"/>
        <v>1</v>
      </c>
      <c r="I109" s="18">
        <f t="shared" si="27"/>
        <v>0</v>
      </c>
      <c r="J109" s="18">
        <f t="shared" si="27"/>
        <v>0</v>
      </c>
    </row>
    <row r="110" spans="1:10" x14ac:dyDescent="0.3">
      <c r="A110" s="10" t="s">
        <v>67</v>
      </c>
      <c r="B110" s="11" t="s">
        <v>16</v>
      </c>
      <c r="C110" s="11" t="s">
        <v>17</v>
      </c>
      <c r="D110" s="24" t="s">
        <v>68</v>
      </c>
      <c r="E110" s="12">
        <v>100</v>
      </c>
      <c r="F110" s="12">
        <f>3.21*1.05</f>
        <v>3.37</v>
      </c>
      <c r="G110" s="13">
        <f t="shared" ref="G110:G118" si="28">ROUND(E110*F110,2)</f>
        <v>337</v>
      </c>
      <c r="H110" s="12">
        <v>100</v>
      </c>
      <c r="I110" s="29">
        <v>0</v>
      </c>
      <c r="J110" s="13">
        <f t="shared" ref="J110:J118" si="29">ROUND(H110*I110,2)</f>
        <v>0</v>
      </c>
    </row>
    <row r="111" spans="1:10" x14ac:dyDescent="0.3">
      <c r="A111" s="10" t="s">
        <v>147</v>
      </c>
      <c r="B111" s="11" t="s">
        <v>16</v>
      </c>
      <c r="C111" s="11" t="s">
        <v>17</v>
      </c>
      <c r="D111" s="24" t="s">
        <v>148</v>
      </c>
      <c r="E111" s="12">
        <v>100</v>
      </c>
      <c r="F111" s="12">
        <f>4.42*1.05</f>
        <v>4.6399999999999997</v>
      </c>
      <c r="G111" s="13">
        <f t="shared" si="28"/>
        <v>464</v>
      </c>
      <c r="H111" s="12">
        <v>100</v>
      </c>
      <c r="I111" s="29">
        <v>0</v>
      </c>
      <c r="J111" s="13">
        <f t="shared" si="29"/>
        <v>0</v>
      </c>
    </row>
    <row r="112" spans="1:10" x14ac:dyDescent="0.3">
      <c r="A112" s="10" t="s">
        <v>69</v>
      </c>
      <c r="B112" s="11" t="s">
        <v>16</v>
      </c>
      <c r="C112" s="11" t="s">
        <v>17</v>
      </c>
      <c r="D112" s="24" t="s">
        <v>70</v>
      </c>
      <c r="E112" s="12">
        <v>188</v>
      </c>
      <c r="F112" s="12">
        <f>3.26*1.05</f>
        <v>3.42</v>
      </c>
      <c r="G112" s="13">
        <f t="shared" si="28"/>
        <v>642.96</v>
      </c>
      <c r="H112" s="12">
        <v>188</v>
      </c>
      <c r="I112" s="29">
        <v>0</v>
      </c>
      <c r="J112" s="13">
        <f t="shared" si="29"/>
        <v>0</v>
      </c>
    </row>
    <row r="113" spans="1:10" x14ac:dyDescent="0.3">
      <c r="A113" s="10" t="s">
        <v>71</v>
      </c>
      <c r="B113" s="11" t="s">
        <v>16</v>
      </c>
      <c r="C113" s="11" t="s">
        <v>17</v>
      </c>
      <c r="D113" s="24" t="s">
        <v>72</v>
      </c>
      <c r="E113" s="12">
        <v>257</v>
      </c>
      <c r="F113" s="12">
        <f>4.24*1.05</f>
        <v>4.45</v>
      </c>
      <c r="G113" s="13">
        <f t="shared" si="28"/>
        <v>1143.6500000000001</v>
      </c>
      <c r="H113" s="12">
        <v>257</v>
      </c>
      <c r="I113" s="29">
        <v>0</v>
      </c>
      <c r="J113" s="13">
        <f t="shared" si="29"/>
        <v>0</v>
      </c>
    </row>
    <row r="114" spans="1:10" x14ac:dyDescent="0.3">
      <c r="A114" s="10" t="s">
        <v>73</v>
      </c>
      <c r="B114" s="11" t="s">
        <v>16</v>
      </c>
      <c r="C114" s="11" t="s">
        <v>17</v>
      </c>
      <c r="D114" s="24" t="s">
        <v>74</v>
      </c>
      <c r="E114" s="12">
        <v>50</v>
      </c>
      <c r="F114" s="12">
        <f>15.44*1.05</f>
        <v>16.21</v>
      </c>
      <c r="G114" s="13">
        <f t="shared" si="28"/>
        <v>810.5</v>
      </c>
      <c r="H114" s="12">
        <v>50</v>
      </c>
      <c r="I114" s="29">
        <v>0</v>
      </c>
      <c r="J114" s="13">
        <f t="shared" si="29"/>
        <v>0</v>
      </c>
    </row>
    <row r="115" spans="1:10" x14ac:dyDescent="0.3">
      <c r="A115" s="10" t="s">
        <v>75</v>
      </c>
      <c r="B115" s="11" t="s">
        <v>16</v>
      </c>
      <c r="C115" s="11" t="s">
        <v>17</v>
      </c>
      <c r="D115" s="24" t="s">
        <v>76</v>
      </c>
      <c r="E115" s="12">
        <v>50</v>
      </c>
      <c r="F115" s="12">
        <f>5.13*1.05</f>
        <v>5.39</v>
      </c>
      <c r="G115" s="13">
        <f t="shared" si="28"/>
        <v>269.5</v>
      </c>
      <c r="H115" s="12">
        <v>50</v>
      </c>
      <c r="I115" s="29">
        <v>0</v>
      </c>
      <c r="J115" s="13">
        <f t="shared" si="29"/>
        <v>0</v>
      </c>
    </row>
    <row r="116" spans="1:10" x14ac:dyDescent="0.3">
      <c r="A116" s="10" t="s">
        <v>77</v>
      </c>
      <c r="B116" s="11" t="s">
        <v>16</v>
      </c>
      <c r="C116" s="11" t="s">
        <v>17</v>
      </c>
      <c r="D116" s="24" t="s">
        <v>78</v>
      </c>
      <c r="E116" s="12">
        <v>600</v>
      </c>
      <c r="F116" s="12">
        <f>6.94*1.05</f>
        <v>7.29</v>
      </c>
      <c r="G116" s="13">
        <f t="shared" si="28"/>
        <v>4374</v>
      </c>
      <c r="H116" s="12">
        <v>600</v>
      </c>
      <c r="I116" s="29">
        <v>0</v>
      </c>
      <c r="J116" s="13">
        <f t="shared" si="29"/>
        <v>0</v>
      </c>
    </row>
    <row r="117" spans="1:10" x14ac:dyDescent="0.3">
      <c r="A117" s="10" t="s">
        <v>79</v>
      </c>
      <c r="B117" s="11" t="s">
        <v>16</v>
      </c>
      <c r="C117" s="11" t="s">
        <v>17</v>
      </c>
      <c r="D117" s="24" t="s">
        <v>80</v>
      </c>
      <c r="E117" s="12">
        <v>200</v>
      </c>
      <c r="F117" s="12">
        <f>13.23*1.05</f>
        <v>13.89</v>
      </c>
      <c r="G117" s="13">
        <f t="shared" si="28"/>
        <v>2778</v>
      </c>
      <c r="H117" s="12">
        <v>200</v>
      </c>
      <c r="I117" s="29">
        <v>0</v>
      </c>
      <c r="J117" s="13">
        <f t="shared" si="29"/>
        <v>0</v>
      </c>
    </row>
    <row r="118" spans="1:10" x14ac:dyDescent="0.3">
      <c r="A118" s="14"/>
      <c r="B118" s="14"/>
      <c r="C118" s="14"/>
      <c r="D118" s="25" t="s">
        <v>149</v>
      </c>
      <c r="E118" s="12">
        <v>1</v>
      </c>
      <c r="F118" s="15">
        <f>SUM(G110:G117)</f>
        <v>10819.61</v>
      </c>
      <c r="G118" s="15">
        <f t="shared" si="28"/>
        <v>10819.61</v>
      </c>
      <c r="H118" s="12">
        <v>1</v>
      </c>
      <c r="I118" s="15">
        <f>SUM(J110:J117)</f>
        <v>0</v>
      </c>
      <c r="J118" s="15">
        <f t="shared" si="29"/>
        <v>0</v>
      </c>
    </row>
    <row r="119" spans="1:10" ht="1.05" customHeight="1" x14ac:dyDescent="0.3">
      <c r="A119" s="16"/>
      <c r="B119" s="16"/>
      <c r="C119" s="16"/>
      <c r="D119" s="26"/>
      <c r="E119" s="16"/>
      <c r="F119" s="16"/>
      <c r="G119" s="16"/>
      <c r="H119" s="16"/>
      <c r="I119" s="16"/>
      <c r="J119" s="16"/>
    </row>
    <row r="120" spans="1:10" x14ac:dyDescent="0.3">
      <c r="A120" s="17" t="s">
        <v>150</v>
      </c>
      <c r="B120" s="17" t="s">
        <v>10</v>
      </c>
      <c r="C120" s="17" t="s">
        <v>13</v>
      </c>
      <c r="D120" s="27" t="s">
        <v>83</v>
      </c>
      <c r="E120" s="18">
        <f t="shared" ref="E120:J120" si="30">E125</f>
        <v>1</v>
      </c>
      <c r="F120" s="18">
        <f t="shared" si="30"/>
        <v>8115.45</v>
      </c>
      <c r="G120" s="18">
        <f t="shared" si="30"/>
        <v>8115.45</v>
      </c>
      <c r="H120" s="18">
        <f t="shared" si="30"/>
        <v>1</v>
      </c>
      <c r="I120" s="18">
        <f t="shared" si="30"/>
        <v>0</v>
      </c>
      <c r="J120" s="18">
        <f t="shared" si="30"/>
        <v>0</v>
      </c>
    </row>
    <row r="121" spans="1:10" ht="20.399999999999999" x14ac:dyDescent="0.3">
      <c r="A121" s="10" t="s">
        <v>84</v>
      </c>
      <c r="B121" s="11" t="s">
        <v>16</v>
      </c>
      <c r="C121" s="11" t="s">
        <v>17</v>
      </c>
      <c r="D121" s="24" t="s">
        <v>85</v>
      </c>
      <c r="E121" s="12">
        <v>35</v>
      </c>
      <c r="F121" s="12">
        <f>44.53*1.05</f>
        <v>46.76</v>
      </c>
      <c r="G121" s="13">
        <f>ROUND(E121*F121,2)</f>
        <v>1636.6</v>
      </c>
      <c r="H121" s="12">
        <v>35</v>
      </c>
      <c r="I121" s="29">
        <v>0</v>
      </c>
      <c r="J121" s="13">
        <f>ROUND(H121*I121,2)</f>
        <v>0</v>
      </c>
    </row>
    <row r="122" spans="1:10" x14ac:dyDescent="0.3">
      <c r="A122" s="10" t="s">
        <v>86</v>
      </c>
      <c r="B122" s="11" t="s">
        <v>16</v>
      </c>
      <c r="C122" s="11" t="s">
        <v>17</v>
      </c>
      <c r="D122" s="24" t="s">
        <v>87</v>
      </c>
      <c r="E122" s="12">
        <v>515</v>
      </c>
      <c r="F122" s="12">
        <f>10.37*1.05</f>
        <v>10.89</v>
      </c>
      <c r="G122" s="13">
        <f>ROUND(E122*F122,2)</f>
        <v>5608.35</v>
      </c>
      <c r="H122" s="12">
        <v>515</v>
      </c>
      <c r="I122" s="29">
        <v>0</v>
      </c>
      <c r="J122" s="13">
        <f>ROUND(H122*I122,2)</f>
        <v>0</v>
      </c>
    </row>
    <row r="123" spans="1:10" x14ac:dyDescent="0.3">
      <c r="A123" s="10" t="s">
        <v>88</v>
      </c>
      <c r="B123" s="11" t="s">
        <v>16</v>
      </c>
      <c r="C123" s="11" t="s">
        <v>17</v>
      </c>
      <c r="D123" s="24" t="s">
        <v>89</v>
      </c>
      <c r="E123" s="12">
        <v>50</v>
      </c>
      <c r="F123" s="12">
        <f>3.74*1.05</f>
        <v>3.93</v>
      </c>
      <c r="G123" s="13">
        <f>ROUND(E123*F123,2)</f>
        <v>196.5</v>
      </c>
      <c r="H123" s="12">
        <v>50</v>
      </c>
      <c r="I123" s="29">
        <v>0</v>
      </c>
      <c r="J123" s="13">
        <f>ROUND(H123*I123,2)</f>
        <v>0</v>
      </c>
    </row>
    <row r="124" spans="1:10" x14ac:dyDescent="0.3">
      <c r="A124" s="10" t="s">
        <v>151</v>
      </c>
      <c r="B124" s="11" t="s">
        <v>16</v>
      </c>
      <c r="C124" s="11" t="s">
        <v>17</v>
      </c>
      <c r="D124" s="24" t="s">
        <v>152</v>
      </c>
      <c r="E124" s="12">
        <v>100</v>
      </c>
      <c r="F124" s="12">
        <f>6.42*1.05</f>
        <v>6.74</v>
      </c>
      <c r="G124" s="13">
        <f>ROUND(E124*F124,2)</f>
        <v>674</v>
      </c>
      <c r="H124" s="12">
        <v>100</v>
      </c>
      <c r="I124" s="29">
        <v>0</v>
      </c>
      <c r="J124" s="13">
        <f>ROUND(H124*I124,2)</f>
        <v>0</v>
      </c>
    </row>
    <row r="125" spans="1:10" x14ac:dyDescent="0.3">
      <c r="A125" s="14"/>
      <c r="B125" s="14"/>
      <c r="C125" s="14"/>
      <c r="D125" s="25" t="s">
        <v>153</v>
      </c>
      <c r="E125" s="12">
        <v>1</v>
      </c>
      <c r="F125" s="15">
        <f>SUM(G121:G124)</f>
        <v>8115.45</v>
      </c>
      <c r="G125" s="15">
        <f>ROUND(E125*F125,2)</f>
        <v>8115.45</v>
      </c>
      <c r="H125" s="12">
        <v>1</v>
      </c>
      <c r="I125" s="15">
        <f>SUM(J121:J124)</f>
        <v>0</v>
      </c>
      <c r="J125" s="15">
        <f>ROUND(H125*I125,2)</f>
        <v>0</v>
      </c>
    </row>
    <row r="126" spans="1:10" ht="1.05" customHeight="1" x14ac:dyDescent="0.3">
      <c r="A126" s="16"/>
      <c r="B126" s="16"/>
      <c r="C126" s="16"/>
      <c r="D126" s="26"/>
      <c r="E126" s="16"/>
      <c r="F126" s="16"/>
      <c r="G126" s="16"/>
      <c r="H126" s="16"/>
      <c r="I126" s="16"/>
      <c r="J126" s="16"/>
    </row>
    <row r="127" spans="1:10" x14ac:dyDescent="0.3">
      <c r="A127" s="17" t="s">
        <v>154</v>
      </c>
      <c r="B127" s="17" t="s">
        <v>10</v>
      </c>
      <c r="C127" s="17" t="s">
        <v>13</v>
      </c>
      <c r="D127" s="27" t="s">
        <v>92</v>
      </c>
      <c r="E127" s="18">
        <f t="shared" ref="E127:J127" si="31">E131</f>
        <v>1</v>
      </c>
      <c r="F127" s="18">
        <f t="shared" si="31"/>
        <v>3213.42</v>
      </c>
      <c r="G127" s="18">
        <f t="shared" si="31"/>
        <v>3213.42</v>
      </c>
      <c r="H127" s="18">
        <f t="shared" si="31"/>
        <v>1</v>
      </c>
      <c r="I127" s="18">
        <f t="shared" si="31"/>
        <v>0</v>
      </c>
      <c r="J127" s="18">
        <f t="shared" si="31"/>
        <v>0</v>
      </c>
    </row>
    <row r="128" spans="1:10" x14ac:dyDescent="0.3">
      <c r="A128" s="10" t="s">
        <v>93</v>
      </c>
      <c r="B128" s="11" t="s">
        <v>16</v>
      </c>
      <c r="C128" s="11" t="s">
        <v>13</v>
      </c>
      <c r="D128" s="24" t="s">
        <v>94</v>
      </c>
      <c r="E128" s="12">
        <v>1</v>
      </c>
      <c r="F128" s="12">
        <f>996*1.05</f>
        <v>1045.8</v>
      </c>
      <c r="G128" s="13">
        <f>ROUND(E128*F128,2)</f>
        <v>1045.8</v>
      </c>
      <c r="H128" s="12">
        <v>1</v>
      </c>
      <c r="I128" s="29">
        <v>0</v>
      </c>
      <c r="J128" s="13">
        <f>ROUND(H128*I128,2)</f>
        <v>0</v>
      </c>
    </row>
    <row r="129" spans="1:10" x14ac:dyDescent="0.3">
      <c r="A129" s="10" t="s">
        <v>95</v>
      </c>
      <c r="B129" s="11" t="s">
        <v>16</v>
      </c>
      <c r="C129" s="11" t="s">
        <v>13</v>
      </c>
      <c r="D129" s="24" t="s">
        <v>96</v>
      </c>
      <c r="E129" s="12">
        <v>1</v>
      </c>
      <c r="F129" s="12">
        <f>962*1.05</f>
        <v>1010.1</v>
      </c>
      <c r="G129" s="13">
        <f>ROUND(E129*F129,2)</f>
        <v>1010.1</v>
      </c>
      <c r="H129" s="12">
        <v>1</v>
      </c>
      <c r="I129" s="29">
        <v>0</v>
      </c>
      <c r="J129" s="13">
        <f>ROUND(H129*I129,2)</f>
        <v>0</v>
      </c>
    </row>
    <row r="130" spans="1:10" x14ac:dyDescent="0.3">
      <c r="A130" s="10" t="s">
        <v>155</v>
      </c>
      <c r="B130" s="11" t="s">
        <v>16</v>
      </c>
      <c r="C130" s="11" t="s">
        <v>13</v>
      </c>
      <c r="D130" s="24" t="s">
        <v>156</v>
      </c>
      <c r="E130" s="12">
        <v>14</v>
      </c>
      <c r="F130" s="12">
        <f>78.74*1.05</f>
        <v>82.68</v>
      </c>
      <c r="G130" s="13">
        <f>ROUND(E130*F130,2)</f>
        <v>1157.52</v>
      </c>
      <c r="H130" s="12">
        <v>14</v>
      </c>
      <c r="I130" s="29">
        <v>0</v>
      </c>
      <c r="J130" s="13">
        <f>ROUND(H130*I130,2)</f>
        <v>0</v>
      </c>
    </row>
    <row r="131" spans="1:10" x14ac:dyDescent="0.3">
      <c r="A131" s="14"/>
      <c r="B131" s="14"/>
      <c r="C131" s="14"/>
      <c r="D131" s="25" t="s">
        <v>157</v>
      </c>
      <c r="E131" s="12">
        <v>1</v>
      </c>
      <c r="F131" s="15">
        <f>SUM(G128:G130)</f>
        <v>3213.42</v>
      </c>
      <c r="G131" s="15">
        <f>ROUND(E131*F131,2)</f>
        <v>3213.42</v>
      </c>
      <c r="H131" s="12">
        <v>1</v>
      </c>
      <c r="I131" s="15">
        <f>SUM(J128:J130)</f>
        <v>0</v>
      </c>
      <c r="J131" s="15">
        <f>ROUND(H131*I131,2)</f>
        <v>0</v>
      </c>
    </row>
    <row r="132" spans="1:10" ht="1.05" customHeight="1" x14ac:dyDescent="0.3">
      <c r="A132" s="16"/>
      <c r="B132" s="16"/>
      <c r="C132" s="16"/>
      <c r="D132" s="26"/>
      <c r="E132" s="16"/>
      <c r="F132" s="16"/>
      <c r="G132" s="16"/>
      <c r="H132" s="16"/>
      <c r="I132" s="16"/>
      <c r="J132" s="16"/>
    </row>
    <row r="133" spans="1:10" x14ac:dyDescent="0.3">
      <c r="A133" s="14"/>
      <c r="B133" s="14"/>
      <c r="C133" s="14"/>
      <c r="D133" s="25" t="s">
        <v>158</v>
      </c>
      <c r="E133" s="12">
        <v>1</v>
      </c>
      <c r="F133" s="15">
        <f>G99+G104+G109+G120+G127</f>
        <v>31189.51</v>
      </c>
      <c r="G133" s="15">
        <f>ROUND(E133*F133,2)</f>
        <v>31189.51</v>
      </c>
      <c r="H133" s="12">
        <v>1</v>
      </c>
      <c r="I133" s="15">
        <f>J99+J104+J109+J120+J127</f>
        <v>0</v>
      </c>
      <c r="J133" s="15">
        <f>ROUND(H133*I133,2)</f>
        <v>0</v>
      </c>
    </row>
    <row r="134" spans="1:10" ht="1.05" customHeight="1" x14ac:dyDescent="0.3">
      <c r="A134" s="16"/>
      <c r="B134" s="16"/>
      <c r="C134" s="16"/>
      <c r="D134" s="26"/>
      <c r="E134" s="16"/>
      <c r="F134" s="16"/>
      <c r="G134" s="16"/>
      <c r="H134" s="16"/>
      <c r="I134" s="16"/>
      <c r="J134" s="16"/>
    </row>
    <row r="135" spans="1:10" x14ac:dyDescent="0.3">
      <c r="A135" s="8" t="s">
        <v>159</v>
      </c>
      <c r="B135" s="8" t="s">
        <v>10</v>
      </c>
      <c r="C135" s="8" t="s">
        <v>13</v>
      </c>
      <c r="D135" s="23" t="s">
        <v>100</v>
      </c>
      <c r="E135" s="9">
        <f t="shared" ref="E135:J135" si="32">E140</f>
        <v>1</v>
      </c>
      <c r="F135" s="9">
        <f t="shared" si="32"/>
        <v>12932.48</v>
      </c>
      <c r="G135" s="9">
        <f t="shared" si="32"/>
        <v>12932.48</v>
      </c>
      <c r="H135" s="9">
        <f t="shared" si="32"/>
        <v>1</v>
      </c>
      <c r="I135" s="9">
        <f t="shared" si="32"/>
        <v>0</v>
      </c>
      <c r="J135" s="9">
        <f t="shared" si="32"/>
        <v>0</v>
      </c>
    </row>
    <row r="136" spans="1:10" x14ac:dyDescent="0.3">
      <c r="A136" s="10" t="s">
        <v>101</v>
      </c>
      <c r="B136" s="11" t="s">
        <v>16</v>
      </c>
      <c r="C136" s="11" t="s">
        <v>13</v>
      </c>
      <c r="D136" s="24" t="s">
        <v>102</v>
      </c>
      <c r="E136" s="12">
        <v>5</v>
      </c>
      <c r="F136" s="12">
        <f>1152.5*1.05</f>
        <v>1210.1300000000001</v>
      </c>
      <c r="G136" s="13">
        <f>ROUND(E136*F136,2)</f>
        <v>6050.65</v>
      </c>
      <c r="H136" s="12">
        <v>5</v>
      </c>
      <c r="I136" s="29">
        <v>0</v>
      </c>
      <c r="J136" s="13">
        <f>ROUND(H136*I136,2)</f>
        <v>0</v>
      </c>
    </row>
    <row r="137" spans="1:10" x14ac:dyDescent="0.3">
      <c r="A137" s="10" t="s">
        <v>103</v>
      </c>
      <c r="B137" s="11" t="s">
        <v>16</v>
      </c>
      <c r="C137" s="11" t="s">
        <v>13</v>
      </c>
      <c r="D137" s="24" t="s">
        <v>104</v>
      </c>
      <c r="E137" s="12">
        <v>3</v>
      </c>
      <c r="F137" s="12">
        <f>795*1.05</f>
        <v>834.75</v>
      </c>
      <c r="G137" s="13">
        <f>ROUND(E137*F137,2)</f>
        <v>2504.25</v>
      </c>
      <c r="H137" s="12">
        <v>3</v>
      </c>
      <c r="I137" s="29">
        <v>0</v>
      </c>
      <c r="J137" s="13">
        <f>ROUND(H137*I137,2)</f>
        <v>0</v>
      </c>
    </row>
    <row r="138" spans="1:10" x14ac:dyDescent="0.3">
      <c r="A138" s="10" t="s">
        <v>105</v>
      </c>
      <c r="B138" s="11" t="s">
        <v>16</v>
      </c>
      <c r="C138" s="11" t="s">
        <v>17</v>
      </c>
      <c r="D138" s="24" t="s">
        <v>106</v>
      </c>
      <c r="E138" s="12">
        <v>100</v>
      </c>
      <c r="F138" s="12">
        <f>25.68*1.05</f>
        <v>26.96</v>
      </c>
      <c r="G138" s="13">
        <f>ROUND(E138*F138,2)</f>
        <v>2696</v>
      </c>
      <c r="H138" s="12">
        <v>100</v>
      </c>
      <c r="I138" s="29">
        <v>0</v>
      </c>
      <c r="J138" s="13">
        <f>ROUND(H138*I138,2)</f>
        <v>0</v>
      </c>
    </row>
    <row r="139" spans="1:10" x14ac:dyDescent="0.3">
      <c r="A139" s="10" t="s">
        <v>107</v>
      </c>
      <c r="B139" s="11" t="s">
        <v>16</v>
      </c>
      <c r="C139" s="11" t="s">
        <v>13</v>
      </c>
      <c r="D139" s="24" t="s">
        <v>108</v>
      </c>
      <c r="E139" s="12">
        <v>1</v>
      </c>
      <c r="F139" s="12">
        <f>1601.5*1.05</f>
        <v>1681.58</v>
      </c>
      <c r="G139" s="13">
        <f>ROUND(E139*F139,2)</f>
        <v>1681.58</v>
      </c>
      <c r="H139" s="12">
        <v>1</v>
      </c>
      <c r="I139" s="29">
        <v>0</v>
      </c>
      <c r="J139" s="13">
        <f>ROUND(H139*I139,2)</f>
        <v>0</v>
      </c>
    </row>
    <row r="140" spans="1:10" x14ac:dyDescent="0.3">
      <c r="A140" s="14"/>
      <c r="B140" s="14"/>
      <c r="C140" s="14"/>
      <c r="D140" s="25" t="s">
        <v>160</v>
      </c>
      <c r="E140" s="12">
        <v>1</v>
      </c>
      <c r="F140" s="15">
        <f>SUM(G136:G139)</f>
        <v>12932.48</v>
      </c>
      <c r="G140" s="15">
        <f>ROUND(E140*F140,2)</f>
        <v>12932.48</v>
      </c>
      <c r="H140" s="12">
        <v>1</v>
      </c>
      <c r="I140" s="15">
        <f>SUM(J136:J139)</f>
        <v>0</v>
      </c>
      <c r="J140" s="15">
        <f>ROUND(H140*I140,2)</f>
        <v>0</v>
      </c>
    </row>
    <row r="141" spans="1:10" ht="1.05" customHeight="1" x14ac:dyDescent="0.3">
      <c r="A141" s="16"/>
      <c r="B141" s="16"/>
      <c r="C141" s="16"/>
      <c r="D141" s="26"/>
      <c r="E141" s="16"/>
      <c r="F141" s="16"/>
      <c r="G141" s="16"/>
      <c r="H141" s="16"/>
      <c r="I141" s="16"/>
      <c r="J141" s="16"/>
    </row>
    <row r="142" spans="1:10" x14ac:dyDescent="0.3">
      <c r="A142" s="8" t="s">
        <v>110</v>
      </c>
      <c r="B142" s="8" t="s">
        <v>10</v>
      </c>
      <c r="C142" s="8" t="s">
        <v>13</v>
      </c>
      <c r="D142" s="23" t="s">
        <v>111</v>
      </c>
      <c r="E142" s="9">
        <f t="shared" ref="E142:J142" si="33">E146</f>
        <v>1</v>
      </c>
      <c r="F142" s="9">
        <f t="shared" si="33"/>
        <v>7926.51</v>
      </c>
      <c r="G142" s="9">
        <f t="shared" si="33"/>
        <v>7926.51</v>
      </c>
      <c r="H142" s="9">
        <f t="shared" si="33"/>
        <v>1</v>
      </c>
      <c r="I142" s="9">
        <f t="shared" si="33"/>
        <v>0</v>
      </c>
      <c r="J142" s="9">
        <f t="shared" si="33"/>
        <v>0</v>
      </c>
    </row>
    <row r="143" spans="1:10" x14ac:dyDescent="0.3">
      <c r="A143" s="10" t="s">
        <v>112</v>
      </c>
      <c r="B143" s="11" t="s">
        <v>16</v>
      </c>
      <c r="C143" s="11" t="s">
        <v>13</v>
      </c>
      <c r="D143" s="24" t="s">
        <v>113</v>
      </c>
      <c r="E143" s="12">
        <v>1</v>
      </c>
      <c r="F143" s="12">
        <f>2176*1.05</f>
        <v>2284.8000000000002</v>
      </c>
      <c r="G143" s="13">
        <f>ROUND(E143*F143,2)</f>
        <v>2284.8000000000002</v>
      </c>
      <c r="H143" s="12">
        <v>1</v>
      </c>
      <c r="I143" s="29">
        <v>0</v>
      </c>
      <c r="J143" s="13">
        <f>ROUND(H143*I143,2)</f>
        <v>0</v>
      </c>
    </row>
    <row r="144" spans="1:10" x14ac:dyDescent="0.3">
      <c r="A144" s="10" t="s">
        <v>114</v>
      </c>
      <c r="B144" s="11" t="s">
        <v>16</v>
      </c>
      <c r="C144" s="11" t="s">
        <v>13</v>
      </c>
      <c r="D144" s="24" t="s">
        <v>115</v>
      </c>
      <c r="E144" s="12">
        <v>1</v>
      </c>
      <c r="F144" s="12">
        <f>1678*1.05</f>
        <v>1761.9</v>
      </c>
      <c r="G144" s="13">
        <f>ROUND(E144*F144,2)</f>
        <v>1761.9</v>
      </c>
      <c r="H144" s="12">
        <v>1</v>
      </c>
      <c r="I144" s="29">
        <v>0</v>
      </c>
      <c r="J144" s="13">
        <f>ROUND(H144*I144,2)</f>
        <v>0</v>
      </c>
    </row>
    <row r="145" spans="1:10" ht="20.399999999999999" x14ac:dyDescent="0.3">
      <c r="A145" s="10" t="s">
        <v>116</v>
      </c>
      <c r="B145" s="11" t="s">
        <v>16</v>
      </c>
      <c r="C145" s="11" t="s">
        <v>13</v>
      </c>
      <c r="D145" s="24" t="s">
        <v>117</v>
      </c>
      <c r="E145" s="12">
        <v>1</v>
      </c>
      <c r="F145" s="12">
        <f>3695.06*1.05</f>
        <v>3879.81</v>
      </c>
      <c r="G145" s="13">
        <f>ROUND(E145*F145,2)</f>
        <v>3879.81</v>
      </c>
      <c r="H145" s="12">
        <v>1</v>
      </c>
      <c r="I145" s="29">
        <v>0</v>
      </c>
      <c r="J145" s="13">
        <f>ROUND(H145*I145,2)</f>
        <v>0</v>
      </c>
    </row>
    <row r="146" spans="1:10" x14ac:dyDescent="0.3">
      <c r="A146" s="14"/>
      <c r="B146" s="14"/>
      <c r="C146" s="14"/>
      <c r="D146" s="25" t="s">
        <v>118</v>
      </c>
      <c r="E146" s="12">
        <v>1</v>
      </c>
      <c r="F146" s="15">
        <f>SUM(G143:G145)</f>
        <v>7926.51</v>
      </c>
      <c r="G146" s="15">
        <f>ROUND(E146*F146,2)</f>
        <v>7926.51</v>
      </c>
      <c r="H146" s="12">
        <v>1</v>
      </c>
      <c r="I146" s="15">
        <f>SUM(J143:J145)</f>
        <v>0</v>
      </c>
      <c r="J146" s="15">
        <f>ROUND(H146*I146,2)</f>
        <v>0</v>
      </c>
    </row>
    <row r="147" spans="1:10" ht="1.05" customHeight="1" x14ac:dyDescent="0.3">
      <c r="A147" s="16"/>
      <c r="B147" s="16"/>
      <c r="C147" s="16"/>
      <c r="D147" s="26"/>
      <c r="E147" s="16"/>
      <c r="F147" s="16"/>
      <c r="G147" s="16"/>
      <c r="H147" s="16"/>
      <c r="I147" s="16"/>
      <c r="J147" s="16"/>
    </row>
    <row r="148" spans="1:10" x14ac:dyDescent="0.3">
      <c r="A148" s="14"/>
      <c r="B148" s="14"/>
      <c r="C148" s="14"/>
      <c r="D148" s="25" t="s">
        <v>161</v>
      </c>
      <c r="E148" s="19">
        <v>1</v>
      </c>
      <c r="F148" s="15">
        <f>G76+G90+G98+G135+G142</f>
        <v>154386.04</v>
      </c>
      <c r="G148" s="15">
        <f>ROUND(E148*F148,2)</f>
        <v>154386.04</v>
      </c>
      <c r="H148" s="19">
        <v>1</v>
      </c>
      <c r="I148" s="15">
        <f>J76+J90+J98+J135+J142</f>
        <v>0</v>
      </c>
      <c r="J148" s="15">
        <f>ROUND(H148*I148,2)</f>
        <v>0</v>
      </c>
    </row>
    <row r="149" spans="1:10" ht="1.05" customHeight="1" x14ac:dyDescent="0.3">
      <c r="A149" s="16"/>
      <c r="B149" s="16"/>
      <c r="C149" s="16"/>
      <c r="D149" s="26"/>
      <c r="E149" s="16"/>
      <c r="F149" s="16"/>
      <c r="G149" s="16"/>
      <c r="H149" s="16"/>
      <c r="I149" s="16"/>
      <c r="J149" s="16"/>
    </row>
    <row r="150" spans="1:10" x14ac:dyDescent="0.3">
      <c r="A150" s="5" t="s">
        <v>162</v>
      </c>
      <c r="B150" s="5" t="s">
        <v>10</v>
      </c>
      <c r="C150" s="5" t="s">
        <v>4</v>
      </c>
      <c r="D150" s="22" t="s">
        <v>163</v>
      </c>
      <c r="E150" s="6">
        <f t="shared" ref="E150:J150" si="34">E152</f>
        <v>1</v>
      </c>
      <c r="F150" s="7">
        <f t="shared" si="34"/>
        <v>5555.18</v>
      </c>
      <c r="G150" s="7">
        <f t="shared" si="34"/>
        <v>5555.18</v>
      </c>
      <c r="H150" s="6">
        <f t="shared" si="34"/>
        <v>1</v>
      </c>
      <c r="I150" s="7">
        <f t="shared" si="34"/>
        <v>0</v>
      </c>
      <c r="J150" s="7">
        <f t="shared" si="34"/>
        <v>0</v>
      </c>
    </row>
    <row r="151" spans="1:10" x14ac:dyDescent="0.3">
      <c r="A151" s="8" t="s">
        <v>164</v>
      </c>
      <c r="B151" s="8" t="s">
        <v>10</v>
      </c>
      <c r="C151" s="8" t="s">
        <v>13</v>
      </c>
      <c r="D151" s="23" t="s">
        <v>165</v>
      </c>
      <c r="E151" s="20">
        <v>1</v>
      </c>
      <c r="F151" s="20">
        <v>5555.18</v>
      </c>
      <c r="G151" s="9">
        <f>ROUND(E151*F151,2)</f>
        <v>5555.18</v>
      </c>
      <c r="H151" s="20">
        <v>1</v>
      </c>
      <c r="I151" s="28">
        <v>0</v>
      </c>
      <c r="J151" s="9">
        <f>ROUND(H151*I151,2)</f>
        <v>0</v>
      </c>
    </row>
    <row r="152" spans="1:10" x14ac:dyDescent="0.3">
      <c r="A152" s="14"/>
      <c r="B152" s="14"/>
      <c r="C152" s="14"/>
      <c r="D152" s="25" t="s">
        <v>166</v>
      </c>
      <c r="E152" s="19">
        <v>1</v>
      </c>
      <c r="F152" s="15">
        <f>G151</f>
        <v>5555.18</v>
      </c>
      <c r="G152" s="15">
        <f>ROUND(E152*F152,2)</f>
        <v>5555.18</v>
      </c>
      <c r="H152" s="19">
        <v>1</v>
      </c>
      <c r="I152" s="15">
        <f>J151</f>
        <v>0</v>
      </c>
      <c r="J152" s="15">
        <f>ROUND(H152*I152,2)</f>
        <v>0</v>
      </c>
    </row>
    <row r="153" spans="1:10" ht="1.05" customHeight="1" x14ac:dyDescent="0.3">
      <c r="A153" s="16"/>
      <c r="B153" s="16"/>
      <c r="C153" s="16"/>
      <c r="D153" s="26"/>
      <c r="E153" s="16"/>
      <c r="F153" s="16"/>
      <c r="G153" s="16"/>
      <c r="H153" s="16"/>
      <c r="I153" s="16"/>
      <c r="J153" s="16"/>
    </row>
    <row r="154" spans="1:10" x14ac:dyDescent="0.3">
      <c r="A154" s="14"/>
      <c r="B154" s="14"/>
      <c r="C154" s="14"/>
      <c r="D154" s="25" t="s">
        <v>167</v>
      </c>
      <c r="E154" s="19">
        <v>1</v>
      </c>
      <c r="F154" s="15">
        <f>G4+G75+G150</f>
        <v>395054.18</v>
      </c>
      <c r="G154" s="15">
        <f>ROUND(E154*F154,2)</f>
        <v>395054.18</v>
      </c>
      <c r="H154" s="19">
        <v>1</v>
      </c>
      <c r="I154" s="15">
        <f>J4+J75+J150</f>
        <v>0</v>
      </c>
      <c r="J154" s="15">
        <f>ROUND(H154*I154,2)</f>
        <v>0</v>
      </c>
    </row>
    <row r="155" spans="1:10" ht="1.05" customHeight="1" x14ac:dyDescent="0.3">
      <c r="A155" s="16"/>
      <c r="B155" s="16"/>
      <c r="C155" s="16"/>
      <c r="D155" s="26"/>
      <c r="E155" s="16"/>
      <c r="F155" s="16"/>
      <c r="G155" s="16"/>
      <c r="H155" s="16"/>
      <c r="I155" s="16"/>
      <c r="J155" s="16"/>
    </row>
    <row r="157" spans="1:10" x14ac:dyDescent="0.3">
      <c r="D157" s="30" t="s">
        <v>168</v>
      </c>
      <c r="E157" s="31">
        <v>1</v>
      </c>
      <c r="F157" s="32">
        <f>G154</f>
        <v>395054.18</v>
      </c>
      <c r="G157" s="32">
        <f>ROUND(E157*F157,2)</f>
        <v>395054.18</v>
      </c>
      <c r="H157" s="31">
        <v>1</v>
      </c>
      <c r="I157" s="32">
        <f>J154</f>
        <v>0</v>
      </c>
      <c r="J157" s="33">
        <f>ROUND(H157*I157,2)</f>
        <v>0</v>
      </c>
    </row>
    <row r="158" spans="1:10" x14ac:dyDescent="0.3">
      <c r="D158" s="34" t="s">
        <v>169</v>
      </c>
      <c r="E158" s="35">
        <v>0.19</v>
      </c>
      <c r="F158" s="36"/>
      <c r="G158" s="37">
        <f>G157*E158</f>
        <v>75060.289999999994</v>
      </c>
      <c r="H158" s="47">
        <v>0</v>
      </c>
      <c r="I158" s="36"/>
      <c r="J158" s="38">
        <f>J157*H158</f>
        <v>0</v>
      </c>
    </row>
    <row r="159" spans="1:10" x14ac:dyDescent="0.3">
      <c r="D159" s="34" t="s">
        <v>170</v>
      </c>
      <c r="E159" s="36"/>
      <c r="F159" s="36"/>
      <c r="G159" s="37">
        <f>G157+G158</f>
        <v>470114.47</v>
      </c>
      <c r="H159" s="36"/>
      <c r="I159" s="36"/>
      <c r="J159" s="38">
        <f>J157+J158</f>
        <v>0</v>
      </c>
    </row>
    <row r="160" spans="1:10" x14ac:dyDescent="0.3">
      <c r="D160" s="34" t="s">
        <v>171</v>
      </c>
      <c r="E160" s="35">
        <v>0.21</v>
      </c>
      <c r="F160" s="36"/>
      <c r="G160" s="37">
        <f>G159*E160</f>
        <v>98724.04</v>
      </c>
      <c r="H160" s="35">
        <v>0.21</v>
      </c>
      <c r="I160" s="36"/>
      <c r="J160" s="38">
        <f>J159*H160</f>
        <v>0</v>
      </c>
    </row>
    <row r="161" spans="1:11" x14ac:dyDescent="0.3">
      <c r="D161" s="39" t="s">
        <v>172</v>
      </c>
      <c r="E161" s="40"/>
      <c r="F161" s="40"/>
      <c r="G161" s="41">
        <f>G159+G160</f>
        <v>568838.51</v>
      </c>
      <c r="H161" s="40"/>
      <c r="I161" s="40"/>
      <c r="J161" s="42">
        <f>J159+J160</f>
        <v>0</v>
      </c>
    </row>
    <row r="162" spans="1:11" x14ac:dyDescent="0.3">
      <c r="D162" s="43"/>
      <c r="E162" s="44"/>
      <c r="F162" s="44"/>
      <c r="G162" s="45"/>
      <c r="H162" s="44"/>
      <c r="I162" s="44"/>
      <c r="J162" s="45"/>
      <c r="K162" s="46"/>
    </row>
    <row r="163" spans="1:11" s="51" customFormat="1" ht="12" x14ac:dyDescent="0.25">
      <c r="A163" s="48" t="s">
        <v>178</v>
      </c>
      <c r="B163" s="49"/>
      <c r="C163" s="49"/>
      <c r="D163" s="49"/>
      <c r="E163" s="49"/>
      <c r="F163" s="49"/>
      <c r="G163" s="49"/>
      <c r="H163" s="49"/>
      <c r="I163" s="49"/>
      <c r="J163" s="50"/>
      <c r="K163" s="53"/>
    </row>
    <row r="164" spans="1:11" s="51" customFormat="1" ht="12" x14ac:dyDescent="0.25">
      <c r="A164" s="52" t="s">
        <v>173</v>
      </c>
      <c r="B164" s="53"/>
      <c r="C164" s="53"/>
      <c r="D164" s="53"/>
      <c r="E164" s="53"/>
      <c r="F164" s="53"/>
      <c r="G164" s="53"/>
      <c r="H164" s="53"/>
      <c r="I164" s="53"/>
      <c r="J164" s="54"/>
      <c r="K164" s="53"/>
    </row>
    <row r="165" spans="1:11" s="51" customFormat="1" ht="12" x14ac:dyDescent="0.25">
      <c r="A165" s="52" t="s">
        <v>174</v>
      </c>
      <c r="B165" s="53"/>
      <c r="C165" s="53"/>
      <c r="D165" s="53"/>
      <c r="E165" s="53"/>
      <c r="F165" s="53"/>
      <c r="G165" s="53"/>
      <c r="H165" s="53"/>
      <c r="I165" s="53"/>
      <c r="J165" s="54"/>
      <c r="K165" s="53"/>
    </row>
    <row r="166" spans="1:11" s="51" customFormat="1" ht="12" x14ac:dyDescent="0.25">
      <c r="A166" s="52" t="s">
        <v>175</v>
      </c>
      <c r="B166" s="53"/>
      <c r="C166" s="53"/>
      <c r="D166" s="53"/>
      <c r="E166" s="53"/>
      <c r="F166" s="53"/>
      <c r="G166" s="53"/>
      <c r="H166" s="53"/>
      <c r="I166" s="53"/>
      <c r="J166" s="54"/>
      <c r="K166" s="53"/>
    </row>
    <row r="167" spans="1:11" s="51" customFormat="1" ht="12" x14ac:dyDescent="0.25">
      <c r="A167" s="52" t="s">
        <v>176</v>
      </c>
      <c r="B167" s="53"/>
      <c r="C167" s="53"/>
      <c r="D167" s="53"/>
      <c r="E167" s="53"/>
      <c r="F167" s="53"/>
      <c r="G167" s="53"/>
      <c r="H167" s="53"/>
      <c r="I167" s="53"/>
      <c r="J167" s="54"/>
      <c r="K167" s="53"/>
    </row>
    <row r="168" spans="1:11" s="51" customFormat="1" ht="12" x14ac:dyDescent="0.25">
      <c r="A168" s="55" t="s">
        <v>177</v>
      </c>
      <c r="B168" s="56"/>
      <c r="C168" s="56"/>
      <c r="D168" s="56"/>
      <c r="E168" s="56"/>
      <c r="F168" s="56"/>
      <c r="G168" s="56"/>
      <c r="H168" s="56"/>
      <c r="I168" s="56"/>
      <c r="J168" s="57"/>
      <c r="K168" s="58"/>
    </row>
    <row r="169" spans="1:11" x14ac:dyDescent="0.3">
      <c r="K169" s="46"/>
    </row>
  </sheetData>
  <sheetProtection algorithmName="SHA-512" hashValue="IjMXPvpms1w33bcgudHh5/pL0yyOhvo2l00knVMXkFualtksEI2WT//sFu8zf/OKQNJyjsmuF7GiUeWaOZQLsQ==" saltValue="IPQm+Ht421tMvmdKSUfZdA==" spinCount="100000" sheet="1" objects="1" scenarios="1"/>
  <dataValidations disablePrompts="1" count="1">
    <dataValidation type="list" allowBlank="1" showInputMessage="1" showErrorMessage="1" sqref="B4:B156" xr:uid="{9293FB5C-063E-4D08-9F50-1453C645D219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IO_23-017P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2023-06-19T12:10:37Z</dcterms:created>
  <dcterms:modified xsi:type="dcterms:W3CDTF">2023-06-19T12:11:14Z</dcterms:modified>
</cp:coreProperties>
</file>