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46A47734-DD9F-4E1C-B230-522BFE6739B8}" xr6:coauthVersionLast="47" xr6:coauthVersionMax="47" xr10:uidLastSave="{00000000-0000-0000-0000-000000000000}"/>
  <bookViews>
    <workbookView xWindow="1212" yWindow="-108" windowWidth="21936" windowHeight="13176"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05" i="1" l="1"/>
  <c r="U304" i="1"/>
  <c r="U449" i="1"/>
  <c r="L405" i="1"/>
  <c r="U264" i="1"/>
  <c r="V405" i="1" l="1"/>
  <c r="V306" i="1" s="1"/>
  <c r="M474" i="1"/>
  <c r="M475" i="1" l="1"/>
  <c r="M476" i="1" s="1"/>
  <c r="M477" i="1" l="1"/>
  <c r="M478" i="1" s="1"/>
  <c r="V468" i="1" l="1"/>
  <c r="V466" i="1"/>
  <c r="V464" i="1"/>
  <c r="V462" i="1"/>
  <c r="V460" i="1"/>
  <c r="V458" i="1"/>
  <c r="V456" i="1"/>
  <c r="V454" i="1"/>
  <c r="T453" i="1"/>
  <c r="U442" i="1"/>
  <c r="S444" i="1"/>
  <c r="T445" i="1" s="1"/>
  <c r="T441" i="1"/>
  <c r="T437" i="1"/>
  <c r="V437" i="1" s="1"/>
  <c r="V434" i="1" s="1"/>
  <c r="S436" i="1"/>
  <c r="U434" i="1"/>
  <c r="S431" i="1"/>
  <c r="T432" i="1" s="1"/>
  <c r="U429" i="1"/>
  <c r="U424" i="1"/>
  <c r="S426" i="1"/>
  <c r="T427" i="1" s="1"/>
  <c r="V422" i="1"/>
  <c r="V419" i="1" s="1"/>
  <c r="T422" i="1"/>
  <c r="T419" i="1" s="1"/>
  <c r="S421" i="1"/>
  <c r="U419" i="1"/>
  <c r="U414" i="1"/>
  <c r="S416" i="1"/>
  <c r="T417" i="1" s="1"/>
  <c r="U409" i="1"/>
  <c r="T412" i="1"/>
  <c r="T409" i="1" s="1"/>
  <c r="S411" i="1"/>
  <c r="T408" i="1"/>
  <c r="T407" i="1"/>
  <c r="U396" i="1"/>
  <c r="S398" i="1"/>
  <c r="T399" i="1" s="1"/>
  <c r="V394" i="1"/>
  <c r="V391" i="1" s="1"/>
  <c r="T394" i="1"/>
  <c r="T391" i="1" s="1"/>
  <c r="S393" i="1"/>
  <c r="U391" i="1"/>
  <c r="U386" i="1"/>
  <c r="S388" i="1"/>
  <c r="T389" i="1" s="1"/>
  <c r="U381" i="1"/>
  <c r="T384" i="1"/>
  <c r="T381" i="1" s="1"/>
  <c r="S383" i="1"/>
  <c r="T380" i="1"/>
  <c r="T379" i="1"/>
  <c r="S374" i="1"/>
  <c r="T375" i="1" s="1"/>
  <c r="U372" i="1"/>
  <c r="U367" i="1"/>
  <c r="S369" i="1"/>
  <c r="T370" i="1" s="1"/>
  <c r="T365" i="1"/>
  <c r="V365" i="1" s="1"/>
  <c r="V362" i="1" s="1"/>
  <c r="S364" i="1"/>
  <c r="U362" i="1"/>
  <c r="T361" i="1"/>
  <c r="U354" i="1"/>
  <c r="S356" i="1"/>
  <c r="T357" i="1" s="1"/>
  <c r="T353" i="1"/>
  <c r="T349" i="1"/>
  <c r="V349" i="1" s="1"/>
  <c r="V346" i="1" s="1"/>
  <c r="S348" i="1"/>
  <c r="U346" i="1"/>
  <c r="S343" i="1"/>
  <c r="T344" i="1" s="1"/>
  <c r="U341" i="1"/>
  <c r="T340" i="1"/>
  <c r="U333" i="1"/>
  <c r="T336" i="1"/>
  <c r="T333" i="1" s="1"/>
  <c r="S335" i="1"/>
  <c r="S330" i="1"/>
  <c r="T331" i="1" s="1"/>
  <c r="U328" i="1"/>
  <c r="U323" i="1"/>
  <c r="S325" i="1"/>
  <c r="T326" i="1" s="1"/>
  <c r="T321" i="1"/>
  <c r="V321" i="1" s="1"/>
  <c r="V318" i="1" s="1"/>
  <c r="S320" i="1"/>
  <c r="U318" i="1"/>
  <c r="S315" i="1"/>
  <c r="T316" i="1" s="1"/>
  <c r="U313" i="1"/>
  <c r="U308" i="1"/>
  <c r="S310" i="1"/>
  <c r="T311" i="1" s="1"/>
  <c r="T307" i="1"/>
  <c r="T306" i="1"/>
  <c r="V300" i="1"/>
  <c r="V298" i="1"/>
  <c r="T297" i="1"/>
  <c r="T293" i="1"/>
  <c r="V293" i="1" s="1"/>
  <c r="V290" i="1" s="1"/>
  <c r="U295" i="1" s="1"/>
  <c r="S292" i="1"/>
  <c r="U290" i="1"/>
  <c r="T289" i="1"/>
  <c r="U282" i="1"/>
  <c r="S284" i="1"/>
  <c r="T285" i="1" s="1"/>
  <c r="T281" i="1"/>
  <c r="T277" i="1"/>
  <c r="V277" i="1" s="1"/>
  <c r="V274" i="1" s="1"/>
  <c r="S276" i="1"/>
  <c r="U274" i="1"/>
  <c r="S271" i="1"/>
  <c r="T272" i="1" s="1"/>
  <c r="U269" i="1"/>
  <c r="S266" i="1"/>
  <c r="T267" i="1" s="1"/>
  <c r="V262" i="1"/>
  <c r="V259" i="1" s="1"/>
  <c r="T262" i="1"/>
  <c r="T259" i="1" s="1"/>
  <c r="S261" i="1"/>
  <c r="U259" i="1"/>
  <c r="T258" i="1"/>
  <c r="T257" i="1"/>
  <c r="T256" i="1"/>
  <c r="U245" i="1"/>
  <c r="T248" i="1"/>
  <c r="T245" i="1" s="1"/>
  <c r="S247" i="1"/>
  <c r="T244" i="1"/>
  <c r="T243" i="1"/>
  <c r="U234" i="1"/>
  <c r="S236" i="1"/>
  <c r="T237" i="1" s="1"/>
  <c r="T233" i="1"/>
  <c r="T229" i="1"/>
  <c r="V229" i="1" s="1"/>
  <c r="V226" i="1" s="1"/>
  <c r="U231" i="1" s="1"/>
  <c r="S228" i="1"/>
  <c r="U226" i="1"/>
  <c r="T225" i="1"/>
  <c r="U218" i="1"/>
  <c r="S220" i="1"/>
  <c r="T221" i="1" s="1"/>
  <c r="T217" i="1"/>
  <c r="T216" i="1"/>
  <c r="V210" i="1"/>
  <c r="V207" i="1" s="1"/>
  <c r="U212" i="1" s="1"/>
  <c r="T210" i="1"/>
  <c r="T207" i="1" s="1"/>
  <c r="S209" i="1"/>
  <c r="U207" i="1"/>
  <c r="T206" i="1"/>
  <c r="T205" i="1"/>
  <c r="T204" i="1"/>
  <c r="U193" i="1"/>
  <c r="T196" i="1"/>
  <c r="T193" i="1" s="1"/>
  <c r="S195" i="1"/>
  <c r="S190" i="1"/>
  <c r="T191" i="1" s="1"/>
  <c r="U188" i="1"/>
  <c r="V182" i="1"/>
  <c r="V179" i="1" s="1"/>
  <c r="U184" i="1" s="1"/>
  <c r="T182" i="1"/>
  <c r="T179" i="1" s="1"/>
  <c r="S181" i="1"/>
  <c r="U179" i="1"/>
  <c r="T178" i="1"/>
  <c r="T172" i="1"/>
  <c r="T169" i="1" s="1"/>
  <c r="S171" i="1"/>
  <c r="U169" i="1"/>
  <c r="T168" i="1"/>
  <c r="T167" i="1"/>
  <c r="T166" i="1"/>
  <c r="V162" i="1"/>
  <c r="V159" i="1" s="1"/>
  <c r="U164" i="1" s="1"/>
  <c r="T162" i="1"/>
  <c r="T159" i="1" s="1"/>
  <c r="S161" i="1"/>
  <c r="U159" i="1"/>
  <c r="T158" i="1"/>
  <c r="V150" i="1"/>
  <c r="V143" i="1" s="1"/>
  <c r="U152" i="1" s="1"/>
  <c r="T150" i="1"/>
  <c r="S149" i="1"/>
  <c r="S148" i="1"/>
  <c r="S147" i="1"/>
  <c r="S146" i="1"/>
  <c r="S145" i="1"/>
  <c r="U143" i="1"/>
  <c r="T143" i="1"/>
  <c r="T142" i="1"/>
  <c r="T141" i="1"/>
  <c r="S134" i="1"/>
  <c r="S133" i="1"/>
  <c r="S132" i="1"/>
  <c r="S131" i="1"/>
  <c r="S130" i="1"/>
  <c r="S129" i="1"/>
  <c r="S128" i="1"/>
  <c r="S127" i="1"/>
  <c r="S126" i="1"/>
  <c r="T135" i="1" s="1"/>
  <c r="U124" i="1"/>
  <c r="T123" i="1"/>
  <c r="S118" i="1"/>
  <c r="S117" i="1"/>
  <c r="S116" i="1"/>
  <c r="S115" i="1"/>
  <c r="S114" i="1"/>
  <c r="T119" i="1" s="1"/>
  <c r="U112" i="1"/>
  <c r="T111" i="1"/>
  <c r="U103" i="1"/>
  <c r="S106" i="1"/>
  <c r="S105" i="1"/>
  <c r="T107" i="1" s="1"/>
  <c r="T102" i="1"/>
  <c r="T98" i="1"/>
  <c r="T94" i="1" s="1"/>
  <c r="S97" i="1"/>
  <c r="S96" i="1"/>
  <c r="U94" i="1"/>
  <c r="T93" i="1"/>
  <c r="T92" i="1"/>
  <c r="V86" i="1"/>
  <c r="V82" i="1" s="1"/>
  <c r="U88" i="1" s="1"/>
  <c r="U82" i="1"/>
  <c r="T86" i="1"/>
  <c r="T82" i="1" s="1"/>
  <c r="S85" i="1"/>
  <c r="S84" i="1"/>
  <c r="T81" i="1"/>
  <c r="S76" i="1"/>
  <c r="S75" i="1"/>
  <c r="T77" i="1" s="1"/>
  <c r="U73" i="1"/>
  <c r="T72" i="1"/>
  <c r="U58" i="1"/>
  <c r="S67" i="1"/>
  <c r="S66" i="1"/>
  <c r="S65" i="1"/>
  <c r="S64" i="1"/>
  <c r="S63" i="1"/>
  <c r="S62" i="1"/>
  <c r="S61" i="1"/>
  <c r="S60" i="1"/>
  <c r="T68" i="1" s="1"/>
  <c r="T57" i="1"/>
  <c r="T56" i="1"/>
  <c r="T55" i="1"/>
  <c r="V51" i="1"/>
  <c r="V48" i="1" s="1"/>
  <c r="T51" i="1"/>
  <c r="T48" i="1" s="1"/>
  <c r="S50" i="1"/>
  <c r="U48" i="1"/>
  <c r="U43" i="1"/>
  <c r="S45" i="1"/>
  <c r="T46" i="1" s="1"/>
  <c r="T42" i="1"/>
  <c r="U31" i="1"/>
  <c r="S33" i="1"/>
  <c r="T34" i="1" s="1"/>
  <c r="T30" i="1"/>
  <c r="T29" i="1"/>
  <c r="U22" i="1"/>
  <c r="T25" i="1"/>
  <c r="T22" i="1" s="1"/>
  <c r="S24" i="1"/>
  <c r="T21" i="1"/>
  <c r="T20" i="1"/>
  <c r="U11" i="1"/>
  <c r="S13" i="1"/>
  <c r="T14" i="1" s="1"/>
  <c r="T10" i="1"/>
  <c r="T9" i="1"/>
  <c r="T8" i="1"/>
  <c r="V7" i="1"/>
  <c r="V6" i="1"/>
  <c r="T5" i="1"/>
  <c r="T4" i="1"/>
  <c r="U302" i="1" l="1"/>
  <c r="V14" i="1"/>
  <c r="V11" i="1" s="1"/>
  <c r="U16" i="1" s="1"/>
  <c r="T11" i="1"/>
  <c r="T218" i="1"/>
  <c r="V221" i="1"/>
  <c r="V218" i="1" s="1"/>
  <c r="U223" i="1" s="1"/>
  <c r="T354" i="1"/>
  <c r="V357" i="1"/>
  <c r="V354" i="1" s="1"/>
  <c r="U359" i="1" s="1"/>
  <c r="T442" i="1"/>
  <c r="V445" i="1"/>
  <c r="V442" i="1" s="1"/>
  <c r="U447" i="1" s="1"/>
  <c r="T31" i="1"/>
  <c r="V34" i="1"/>
  <c r="V31" i="1" s="1"/>
  <c r="U36" i="1" s="1"/>
  <c r="T112" i="1"/>
  <c r="V119" i="1"/>
  <c r="V112" i="1" s="1"/>
  <c r="U121" i="1" s="1"/>
  <c r="T124" i="1"/>
  <c r="V135" i="1"/>
  <c r="V124" i="1" s="1"/>
  <c r="U137" i="1" s="1"/>
  <c r="U178" i="1"/>
  <c r="V184" i="1"/>
  <c r="V178" i="1" s="1"/>
  <c r="T264" i="1"/>
  <c r="V267" i="1"/>
  <c r="V264" i="1" s="1"/>
  <c r="T323" i="1"/>
  <c r="V326" i="1"/>
  <c r="V323" i="1" s="1"/>
  <c r="T367" i="1"/>
  <c r="V370" i="1"/>
  <c r="V367" i="1" s="1"/>
  <c r="U377" i="1" s="1"/>
  <c r="T414" i="1"/>
  <c r="V417" i="1"/>
  <c r="V414" i="1" s="1"/>
  <c r="V316" i="1"/>
  <c r="V313" i="1" s="1"/>
  <c r="T313" i="1"/>
  <c r="T103" i="1"/>
  <c r="V107" i="1"/>
  <c r="V103" i="1" s="1"/>
  <c r="U109" i="1" s="1"/>
  <c r="V272" i="1"/>
  <c r="V269" i="1" s="1"/>
  <c r="T269" i="1"/>
  <c r="T328" i="1"/>
  <c r="V331" i="1"/>
  <c r="V328" i="1" s="1"/>
  <c r="T372" i="1"/>
  <c r="V375" i="1"/>
  <c r="V372" i="1" s="1"/>
  <c r="T396" i="1"/>
  <c r="V399" i="1"/>
  <c r="V396" i="1" s="1"/>
  <c r="V302" i="1"/>
  <c r="V297" i="1" s="1"/>
  <c r="U297" i="1"/>
  <c r="U470" i="1"/>
  <c r="V88" i="1"/>
  <c r="V81" i="1" s="1"/>
  <c r="U81" i="1"/>
  <c r="V344" i="1"/>
  <c r="V341" i="1" s="1"/>
  <c r="U351" i="1" s="1"/>
  <c r="T341" i="1"/>
  <c r="T386" i="1"/>
  <c r="V389" i="1"/>
  <c r="V386" i="1" s="1"/>
  <c r="V432" i="1"/>
  <c r="V429" i="1" s="1"/>
  <c r="T429" i="1"/>
  <c r="V164" i="1"/>
  <c r="V158" i="1" s="1"/>
  <c r="U158" i="1"/>
  <c r="V46" i="1"/>
  <c r="V43" i="1" s="1"/>
  <c r="U53" i="1" s="1"/>
  <c r="T43" i="1"/>
  <c r="U142" i="1"/>
  <c r="V152" i="1"/>
  <c r="V142" i="1" s="1"/>
  <c r="U154" i="1" s="1"/>
  <c r="T73" i="1"/>
  <c r="V77" i="1"/>
  <c r="V73" i="1" s="1"/>
  <c r="U79" i="1" s="1"/>
  <c r="T188" i="1"/>
  <c r="V191" i="1"/>
  <c r="V188" i="1" s="1"/>
  <c r="T282" i="1"/>
  <c r="V285" i="1"/>
  <c r="V282" i="1" s="1"/>
  <c r="U287" i="1" s="1"/>
  <c r="U206" i="1"/>
  <c r="V212" i="1"/>
  <c r="V206" i="1" s="1"/>
  <c r="U214" i="1" s="1"/>
  <c r="U225" i="1"/>
  <c r="V231" i="1"/>
  <c r="V225" i="1" s="1"/>
  <c r="T234" i="1"/>
  <c r="V237" i="1"/>
  <c r="V234" i="1" s="1"/>
  <c r="U239" i="1" s="1"/>
  <c r="V68" i="1"/>
  <c r="V58" i="1" s="1"/>
  <c r="U70" i="1" s="1"/>
  <c r="T58" i="1"/>
  <c r="U289" i="1"/>
  <c r="V295" i="1"/>
  <c r="V289" i="1" s="1"/>
  <c r="T308" i="1"/>
  <c r="V311" i="1"/>
  <c r="V308" i="1" s="1"/>
  <c r="T424" i="1"/>
  <c r="V427" i="1"/>
  <c r="V424" i="1" s="1"/>
  <c r="V25" i="1"/>
  <c r="V22" i="1" s="1"/>
  <c r="U27" i="1" s="1"/>
  <c r="T226" i="1"/>
  <c r="T274" i="1"/>
  <c r="T290" i="1"/>
  <c r="T318" i="1"/>
  <c r="T346" i="1"/>
  <c r="T362" i="1"/>
  <c r="T434" i="1"/>
  <c r="V98" i="1"/>
  <c r="V94" i="1" s="1"/>
  <c r="U100" i="1" s="1"/>
  <c r="V172" i="1"/>
  <c r="V169" i="1" s="1"/>
  <c r="U174" i="1" s="1"/>
  <c r="V196" i="1"/>
  <c r="V193" i="1" s="1"/>
  <c r="V248" i="1"/>
  <c r="V245" i="1" s="1"/>
  <c r="U250" i="1" s="1"/>
  <c r="V336" i="1"/>
  <c r="V333" i="1" s="1"/>
  <c r="V384" i="1"/>
  <c r="V381" i="1" s="1"/>
  <c r="V412" i="1"/>
  <c r="V409" i="1" s="1"/>
  <c r="L468" i="1"/>
  <c r="M468" i="1" s="1"/>
  <c r="L466" i="1"/>
  <c r="M466" i="1" s="1"/>
  <c r="L464" i="1"/>
  <c r="M464" i="1" s="1"/>
  <c r="L462" i="1"/>
  <c r="M462" i="1" s="1"/>
  <c r="L460" i="1"/>
  <c r="M460" i="1" s="1"/>
  <c r="L458" i="1"/>
  <c r="M458" i="1" s="1"/>
  <c r="L456" i="1"/>
  <c r="M456" i="1" s="1"/>
  <c r="L454" i="1"/>
  <c r="M454" i="1" s="1"/>
  <c r="L445" i="1"/>
  <c r="L442" i="1" s="1"/>
  <c r="L437" i="1"/>
  <c r="L434" i="1" s="1"/>
  <c r="L432" i="1"/>
  <c r="L429" i="1" s="1"/>
  <c r="L427" i="1"/>
  <c r="L424" i="1" s="1"/>
  <c r="L422" i="1"/>
  <c r="L419" i="1" s="1"/>
  <c r="L417" i="1"/>
  <c r="L414" i="1" s="1"/>
  <c r="L412" i="1"/>
  <c r="L409" i="1" s="1"/>
  <c r="L399" i="1"/>
  <c r="L396" i="1" s="1"/>
  <c r="L394" i="1"/>
  <c r="L391" i="1" s="1"/>
  <c r="L389" i="1"/>
  <c r="L386" i="1" s="1"/>
  <c r="L384" i="1"/>
  <c r="L381" i="1" s="1"/>
  <c r="L375" i="1"/>
  <c r="L372" i="1" s="1"/>
  <c r="L370" i="1"/>
  <c r="L367" i="1" s="1"/>
  <c r="L365" i="1"/>
  <c r="L362" i="1" s="1"/>
  <c r="L357" i="1"/>
  <c r="L354" i="1" s="1"/>
  <c r="L349" i="1"/>
  <c r="L346" i="1" s="1"/>
  <c r="L344" i="1"/>
  <c r="L341" i="1" s="1"/>
  <c r="L336" i="1"/>
  <c r="L331" i="1"/>
  <c r="L328" i="1" s="1"/>
  <c r="L326" i="1"/>
  <c r="L323" i="1" s="1"/>
  <c r="L321" i="1"/>
  <c r="L318" i="1" s="1"/>
  <c r="L316" i="1"/>
  <c r="L313" i="1" s="1"/>
  <c r="L311" i="1"/>
  <c r="L308" i="1" s="1"/>
  <c r="L300" i="1"/>
  <c r="M300" i="1" s="1"/>
  <c r="L298" i="1"/>
  <c r="M298" i="1" s="1"/>
  <c r="L293" i="1"/>
  <c r="L290" i="1" s="1"/>
  <c r="L285" i="1"/>
  <c r="L282" i="1" s="1"/>
  <c r="L277" i="1"/>
  <c r="L274" i="1" s="1"/>
  <c r="L272" i="1"/>
  <c r="L267" i="1"/>
  <c r="L264" i="1" s="1"/>
  <c r="L262" i="1"/>
  <c r="L259" i="1" s="1"/>
  <c r="L248" i="1"/>
  <c r="L245" i="1" s="1"/>
  <c r="L237" i="1"/>
  <c r="L234" i="1" s="1"/>
  <c r="L229" i="1"/>
  <c r="L221" i="1"/>
  <c r="L218" i="1" s="1"/>
  <c r="L210" i="1"/>
  <c r="L207" i="1" s="1"/>
  <c r="L196" i="1"/>
  <c r="L193" i="1" s="1"/>
  <c r="L191" i="1"/>
  <c r="L188" i="1" s="1"/>
  <c r="L182" i="1"/>
  <c r="L179" i="1" s="1"/>
  <c r="L172" i="1"/>
  <c r="L169" i="1" s="1"/>
  <c r="L162" i="1"/>
  <c r="L150" i="1"/>
  <c r="L135" i="1"/>
  <c r="L124" i="1" s="1"/>
  <c r="L119" i="1"/>
  <c r="L112" i="1" s="1"/>
  <c r="L107" i="1"/>
  <c r="L103" i="1" s="1"/>
  <c r="L98" i="1"/>
  <c r="L94" i="1" s="1"/>
  <c r="L86" i="1"/>
  <c r="L82" i="1" s="1"/>
  <c r="L77" i="1"/>
  <c r="L73" i="1" s="1"/>
  <c r="L68" i="1"/>
  <c r="L58" i="1" s="1"/>
  <c r="L51" i="1"/>
  <c r="L48" i="1" s="1"/>
  <c r="L46" i="1"/>
  <c r="L43" i="1" s="1"/>
  <c r="L34" i="1"/>
  <c r="L31" i="1" s="1"/>
  <c r="L25" i="1"/>
  <c r="L22" i="1" s="1"/>
  <c r="L14" i="1"/>
  <c r="L11" i="1" s="1"/>
  <c r="K453" i="1"/>
  <c r="K256" i="1"/>
  <c r="K407" i="1"/>
  <c r="K441" i="1"/>
  <c r="J444" i="1"/>
  <c r="K445" i="1" s="1"/>
  <c r="K408" i="1"/>
  <c r="J436" i="1"/>
  <c r="K437" i="1" s="1"/>
  <c r="J431" i="1"/>
  <c r="K432" i="1" s="1"/>
  <c r="K429" i="1" s="1"/>
  <c r="J426" i="1"/>
  <c r="K427" i="1" s="1"/>
  <c r="J421" i="1"/>
  <c r="K422" i="1" s="1"/>
  <c r="J416" i="1"/>
  <c r="K417" i="1" s="1"/>
  <c r="J411" i="1"/>
  <c r="K412" i="1" s="1"/>
  <c r="K409" i="1" s="1"/>
  <c r="K306" i="1"/>
  <c r="K379" i="1"/>
  <c r="K380" i="1"/>
  <c r="J398" i="1"/>
  <c r="K399" i="1" s="1"/>
  <c r="K396" i="1" s="1"/>
  <c r="J393" i="1"/>
  <c r="K394" i="1" s="1"/>
  <c r="K391" i="1" s="1"/>
  <c r="J388" i="1"/>
  <c r="K389" i="1" s="1"/>
  <c r="J383" i="1"/>
  <c r="K384" i="1" s="1"/>
  <c r="K361" i="1"/>
  <c r="J374" i="1"/>
  <c r="K375" i="1" s="1"/>
  <c r="J369" i="1"/>
  <c r="K370" i="1" s="1"/>
  <c r="K367" i="1" s="1"/>
  <c r="J364" i="1"/>
  <c r="K365" i="1" s="1"/>
  <c r="K353" i="1"/>
  <c r="J356" i="1"/>
  <c r="K357" i="1" s="1"/>
  <c r="K340" i="1"/>
  <c r="J348" i="1"/>
  <c r="K349" i="1" s="1"/>
  <c r="J343" i="1"/>
  <c r="K344" i="1" s="1"/>
  <c r="K307" i="1"/>
  <c r="L333" i="1"/>
  <c r="J335" i="1"/>
  <c r="K336" i="1" s="1"/>
  <c r="K333" i="1" s="1"/>
  <c r="J330" i="1"/>
  <c r="K331" i="1" s="1"/>
  <c r="K328" i="1" s="1"/>
  <c r="J325" i="1"/>
  <c r="K326" i="1" s="1"/>
  <c r="J320" i="1"/>
  <c r="K321" i="1" s="1"/>
  <c r="J315" i="1"/>
  <c r="K316" i="1" s="1"/>
  <c r="K313" i="1" s="1"/>
  <c r="J310" i="1"/>
  <c r="K311" i="1" s="1"/>
  <c r="K308" i="1" s="1"/>
  <c r="K257" i="1"/>
  <c r="K297" i="1"/>
  <c r="K289" i="1"/>
  <c r="J292" i="1"/>
  <c r="K293" i="1" s="1"/>
  <c r="K281" i="1"/>
  <c r="J284" i="1"/>
  <c r="K285" i="1" s="1"/>
  <c r="K282" i="1" s="1"/>
  <c r="K258" i="1"/>
  <c r="J276" i="1"/>
  <c r="K277" i="1" s="1"/>
  <c r="K274" i="1" s="1"/>
  <c r="J271" i="1"/>
  <c r="K272" i="1" s="1"/>
  <c r="K269" i="1" s="1"/>
  <c r="J266" i="1"/>
  <c r="K267" i="1" s="1"/>
  <c r="J261" i="1"/>
  <c r="K262" i="1" s="1"/>
  <c r="K204" i="1"/>
  <c r="K243" i="1"/>
  <c r="K244" i="1"/>
  <c r="J247" i="1"/>
  <c r="K248" i="1" s="1"/>
  <c r="K216" i="1"/>
  <c r="K233" i="1"/>
  <c r="J236" i="1"/>
  <c r="K237" i="1" s="1"/>
  <c r="K225" i="1"/>
  <c r="L226" i="1"/>
  <c r="J228" i="1"/>
  <c r="K229" i="1" s="1"/>
  <c r="K217" i="1"/>
  <c r="J220" i="1"/>
  <c r="K221" i="1" s="1"/>
  <c r="K218" i="1" s="1"/>
  <c r="K205" i="1"/>
  <c r="K206" i="1"/>
  <c r="J209" i="1"/>
  <c r="K210" i="1" s="1"/>
  <c r="K207" i="1" s="1"/>
  <c r="K4" i="1"/>
  <c r="K5" i="1"/>
  <c r="K8" i="1"/>
  <c r="J195" i="1"/>
  <c r="K196" i="1" s="1"/>
  <c r="J190" i="1"/>
  <c r="K191" i="1" s="1"/>
  <c r="K188" i="1" s="1"/>
  <c r="K166" i="1"/>
  <c r="K178" i="1"/>
  <c r="J181" i="1"/>
  <c r="K182" i="1" s="1"/>
  <c r="K179" i="1" s="1"/>
  <c r="K167" i="1"/>
  <c r="K168" i="1"/>
  <c r="J171" i="1"/>
  <c r="K172" i="1" s="1"/>
  <c r="K169" i="1" s="1"/>
  <c r="K158" i="1"/>
  <c r="L159" i="1"/>
  <c r="J161" i="1"/>
  <c r="K162" i="1" s="1"/>
  <c r="K159" i="1" s="1"/>
  <c r="K55" i="1"/>
  <c r="K141" i="1"/>
  <c r="K142" i="1"/>
  <c r="L143" i="1"/>
  <c r="J149" i="1"/>
  <c r="J148" i="1"/>
  <c r="J147" i="1"/>
  <c r="J146" i="1"/>
  <c r="J145" i="1"/>
  <c r="K92" i="1"/>
  <c r="K123" i="1"/>
  <c r="J134" i="1"/>
  <c r="J133" i="1"/>
  <c r="J132" i="1"/>
  <c r="J131" i="1"/>
  <c r="J130" i="1"/>
  <c r="J129" i="1"/>
  <c r="J128" i="1"/>
  <c r="J127" i="1"/>
  <c r="J126" i="1"/>
  <c r="K111" i="1"/>
  <c r="J118" i="1"/>
  <c r="J117" i="1"/>
  <c r="J116" i="1"/>
  <c r="J115" i="1"/>
  <c r="J114" i="1"/>
  <c r="K102" i="1"/>
  <c r="J106" i="1"/>
  <c r="J105" i="1"/>
  <c r="K93" i="1"/>
  <c r="J97" i="1"/>
  <c r="J96" i="1"/>
  <c r="K56" i="1"/>
  <c r="K81" i="1"/>
  <c r="J85" i="1"/>
  <c r="J84" i="1"/>
  <c r="K72" i="1"/>
  <c r="J76" i="1"/>
  <c r="J75" i="1"/>
  <c r="K57" i="1"/>
  <c r="J67" i="1"/>
  <c r="J66" i="1"/>
  <c r="J65" i="1"/>
  <c r="J64" i="1"/>
  <c r="J63" i="1"/>
  <c r="J62" i="1"/>
  <c r="J61" i="1"/>
  <c r="J60" i="1"/>
  <c r="K42" i="1"/>
  <c r="J50" i="1"/>
  <c r="K51" i="1" s="1"/>
  <c r="K48" i="1" s="1"/>
  <c r="J45" i="1"/>
  <c r="K46" i="1" s="1"/>
  <c r="K20" i="1"/>
  <c r="K29" i="1"/>
  <c r="K30" i="1"/>
  <c r="J33" i="1"/>
  <c r="K34" i="1" s="1"/>
  <c r="K21" i="1"/>
  <c r="J24" i="1"/>
  <c r="K25" i="1" s="1"/>
  <c r="K22" i="1" s="1"/>
  <c r="K9" i="1"/>
  <c r="K10" i="1"/>
  <c r="J13" i="1"/>
  <c r="K14" i="1" s="1"/>
  <c r="K11" i="1" s="1"/>
  <c r="M7" i="1"/>
  <c r="M6" i="1"/>
  <c r="U279" i="1" l="1"/>
  <c r="V377" i="1"/>
  <c r="V361" i="1" s="1"/>
  <c r="U361" i="1"/>
  <c r="V250" i="1"/>
  <c r="V244" i="1" s="1"/>
  <c r="U252" i="1" s="1"/>
  <c r="U244" i="1"/>
  <c r="V79" i="1"/>
  <c r="V72" i="1" s="1"/>
  <c r="U72" i="1"/>
  <c r="V470" i="1"/>
  <c r="V453" i="1" s="1"/>
  <c r="U453" i="1"/>
  <c r="V447" i="1"/>
  <c r="V441" i="1" s="1"/>
  <c r="U441" i="1"/>
  <c r="U205" i="1"/>
  <c r="V214" i="1"/>
  <c r="V205" i="1" s="1"/>
  <c r="V359" i="1"/>
  <c r="V353" i="1" s="1"/>
  <c r="U353" i="1"/>
  <c r="V100" i="1"/>
  <c r="V93" i="1" s="1"/>
  <c r="U93" i="1"/>
  <c r="V27" i="1"/>
  <c r="V21" i="1" s="1"/>
  <c r="U21" i="1"/>
  <c r="V174" i="1"/>
  <c r="V168" i="1" s="1"/>
  <c r="U176" i="1" s="1"/>
  <c r="U168" i="1"/>
  <c r="U258" i="1"/>
  <c r="V279" i="1"/>
  <c r="V258" i="1" s="1"/>
  <c r="V137" i="1"/>
  <c r="V123" i="1" s="1"/>
  <c r="U123" i="1"/>
  <c r="V70" i="1"/>
  <c r="V57" i="1" s="1"/>
  <c r="U57" i="1"/>
  <c r="V287" i="1"/>
  <c r="V281" i="1" s="1"/>
  <c r="U281" i="1"/>
  <c r="U102" i="1"/>
  <c r="V109" i="1"/>
  <c r="V102" i="1" s="1"/>
  <c r="U111" i="1"/>
  <c r="V121" i="1"/>
  <c r="V111" i="1" s="1"/>
  <c r="V223" i="1"/>
  <c r="V217" i="1" s="1"/>
  <c r="U217" i="1"/>
  <c r="V154" i="1"/>
  <c r="V141" i="1" s="1"/>
  <c r="U141" i="1"/>
  <c r="U439" i="1"/>
  <c r="V239" i="1"/>
  <c r="V233" i="1" s="1"/>
  <c r="U233" i="1"/>
  <c r="V53" i="1"/>
  <c r="V42" i="1" s="1"/>
  <c r="U42" i="1"/>
  <c r="U340" i="1"/>
  <c r="V351" i="1"/>
  <c r="V340" i="1" s="1"/>
  <c r="U401" i="1"/>
  <c r="U338" i="1"/>
  <c r="V36" i="1"/>
  <c r="V30" i="1" s="1"/>
  <c r="U38" i="1" s="1"/>
  <c r="U30" i="1"/>
  <c r="V16" i="1"/>
  <c r="V10" i="1" s="1"/>
  <c r="U18" i="1" s="1"/>
  <c r="U10" i="1"/>
  <c r="K68" i="1"/>
  <c r="M68" i="1" s="1"/>
  <c r="M58" i="1" s="1"/>
  <c r="L70" i="1" s="1"/>
  <c r="K86" i="1"/>
  <c r="K82" i="1" s="1"/>
  <c r="K150" i="1"/>
  <c r="K143" i="1" s="1"/>
  <c r="K43" i="1"/>
  <c r="M46" i="1"/>
  <c r="M43" i="1" s="1"/>
  <c r="K31" i="1"/>
  <c r="M34" i="1"/>
  <c r="M31" i="1" s="1"/>
  <c r="L36" i="1" s="1"/>
  <c r="K119" i="1"/>
  <c r="M119" i="1" s="1"/>
  <c r="M112" i="1" s="1"/>
  <c r="L121" i="1" s="1"/>
  <c r="K98" i="1"/>
  <c r="K94" i="1" s="1"/>
  <c r="K135" i="1"/>
  <c r="K124" i="1" s="1"/>
  <c r="K107" i="1"/>
  <c r="M107" i="1" s="1"/>
  <c r="M103" i="1" s="1"/>
  <c r="L109" i="1" s="1"/>
  <c r="M14" i="1"/>
  <c r="M11" i="1" s="1"/>
  <c r="L16" i="1" s="1"/>
  <c r="K77" i="1"/>
  <c r="M77" i="1" s="1"/>
  <c r="M73" i="1" s="1"/>
  <c r="L79" i="1" s="1"/>
  <c r="M272" i="1"/>
  <c r="M269" i="1" s="1"/>
  <c r="L470" i="1"/>
  <c r="M470" i="1" s="1"/>
  <c r="M453" i="1" s="1"/>
  <c r="L302" i="1"/>
  <c r="M302" i="1" s="1"/>
  <c r="M297" i="1" s="1"/>
  <c r="L269" i="1"/>
  <c r="M51" i="1"/>
  <c r="M25" i="1"/>
  <c r="K346" i="1"/>
  <c r="M349" i="1"/>
  <c r="M346" i="1" s="1"/>
  <c r="K386" i="1"/>
  <c r="M389" i="1"/>
  <c r="M386" i="1" s="1"/>
  <c r="K419" i="1"/>
  <c r="M422" i="1"/>
  <c r="M419" i="1" s="1"/>
  <c r="M267" i="1"/>
  <c r="M264" i="1" s="1"/>
  <c r="K264" i="1"/>
  <c r="M229" i="1"/>
  <c r="M226" i="1" s="1"/>
  <c r="L231" i="1" s="1"/>
  <c r="K226" i="1"/>
  <c r="K424" i="1"/>
  <c r="M427" i="1"/>
  <c r="M424" i="1" s="1"/>
  <c r="M445" i="1"/>
  <c r="M442" i="1" s="1"/>
  <c r="L447" i="1" s="1"/>
  <c r="K442" i="1"/>
  <c r="M248" i="1"/>
  <c r="M245" i="1" s="1"/>
  <c r="L250" i="1" s="1"/>
  <c r="K245" i="1"/>
  <c r="M321" i="1"/>
  <c r="M318" i="1" s="1"/>
  <c r="K318" i="1"/>
  <c r="K354" i="1"/>
  <c r="M357" i="1"/>
  <c r="M354" i="1" s="1"/>
  <c r="L359" i="1" s="1"/>
  <c r="K372" i="1"/>
  <c r="M375" i="1"/>
  <c r="M372" i="1" s="1"/>
  <c r="K58" i="1"/>
  <c r="M196" i="1"/>
  <c r="M193" i="1" s="1"/>
  <c r="K193" i="1"/>
  <c r="K103" i="1"/>
  <c r="M237" i="1"/>
  <c r="M234" i="1" s="1"/>
  <c r="L239" i="1" s="1"/>
  <c r="K234" i="1"/>
  <c r="M326" i="1"/>
  <c r="M323" i="1" s="1"/>
  <c r="K323" i="1"/>
  <c r="M262" i="1"/>
  <c r="M259" i="1" s="1"/>
  <c r="K259" i="1"/>
  <c r="K290" i="1"/>
  <c r="M293" i="1"/>
  <c r="M290" i="1" s="1"/>
  <c r="L295" i="1" s="1"/>
  <c r="K341" i="1"/>
  <c r="M344" i="1"/>
  <c r="M341" i="1" s="1"/>
  <c r="M365" i="1"/>
  <c r="M362" i="1" s="1"/>
  <c r="K362" i="1"/>
  <c r="M384" i="1"/>
  <c r="M381" i="1" s="1"/>
  <c r="K381" i="1"/>
  <c r="K414" i="1"/>
  <c r="M417" i="1"/>
  <c r="M414" i="1" s="1"/>
  <c r="K434" i="1"/>
  <c r="M437" i="1"/>
  <c r="M434" i="1" s="1"/>
  <c r="M48" i="1"/>
  <c r="M210" i="1"/>
  <c r="M207" i="1" s="1"/>
  <c r="L212" i="1" s="1"/>
  <c r="M221" i="1"/>
  <c r="M218" i="1" s="1"/>
  <c r="L223" i="1" s="1"/>
  <c r="M285" i="1"/>
  <c r="M282" i="1" s="1"/>
  <c r="L287" i="1" s="1"/>
  <c r="M316" i="1"/>
  <c r="M313" i="1" s="1"/>
  <c r="M336" i="1"/>
  <c r="M333" i="1" s="1"/>
  <c r="M399" i="1"/>
  <c r="M396" i="1" s="1"/>
  <c r="M22" i="1"/>
  <c r="L27" i="1" s="1"/>
  <c r="M162" i="1"/>
  <c r="M159" i="1" s="1"/>
  <c r="L164" i="1" s="1"/>
  <c r="M311" i="1"/>
  <c r="M308" i="1" s="1"/>
  <c r="M331" i="1"/>
  <c r="M328" i="1" s="1"/>
  <c r="M394" i="1"/>
  <c r="M391" i="1" s="1"/>
  <c r="M150" i="1"/>
  <c r="M143" i="1" s="1"/>
  <c r="L152" i="1" s="1"/>
  <c r="M172" i="1"/>
  <c r="M169" i="1" s="1"/>
  <c r="L174" i="1" s="1"/>
  <c r="M182" i="1"/>
  <c r="M179" i="1" s="1"/>
  <c r="L184" i="1" s="1"/>
  <c r="M191" i="1"/>
  <c r="M188" i="1" s="1"/>
  <c r="M277" i="1"/>
  <c r="M274" i="1" s="1"/>
  <c r="M370" i="1"/>
  <c r="M367" i="1" s="1"/>
  <c r="M412" i="1"/>
  <c r="M409" i="1" s="1"/>
  <c r="M432" i="1"/>
  <c r="M429" i="1" s="1"/>
  <c r="U90" i="1" l="1"/>
  <c r="U139" i="1"/>
  <c r="U29" i="1"/>
  <c r="V38" i="1"/>
  <c r="V29" i="1" s="1"/>
  <c r="U40" i="1" s="1"/>
  <c r="V338" i="1"/>
  <c r="V307" i="1" s="1"/>
  <c r="U307" i="1"/>
  <c r="U408" i="1"/>
  <c r="V439" i="1"/>
  <c r="V408" i="1" s="1"/>
  <c r="U380" i="1"/>
  <c r="V401" i="1"/>
  <c r="V380" i="1" s="1"/>
  <c r="U403" i="1" s="1"/>
  <c r="V176" i="1"/>
  <c r="V167" i="1" s="1"/>
  <c r="U186" i="1" s="1"/>
  <c r="U167" i="1"/>
  <c r="V252" i="1"/>
  <c r="V243" i="1" s="1"/>
  <c r="U243" i="1"/>
  <c r="U9" i="1"/>
  <c r="V18" i="1"/>
  <c r="V9" i="1" s="1"/>
  <c r="U241" i="1"/>
  <c r="V90" i="1"/>
  <c r="V56" i="1" s="1"/>
  <c r="U56" i="1"/>
  <c r="K73" i="1"/>
  <c r="K112" i="1"/>
  <c r="L297" i="1"/>
  <c r="M98" i="1"/>
  <c r="M94" i="1" s="1"/>
  <c r="L100" i="1" s="1"/>
  <c r="L93" i="1" s="1"/>
  <c r="M86" i="1"/>
  <c r="M82" i="1" s="1"/>
  <c r="L88" i="1" s="1"/>
  <c r="L81" i="1" s="1"/>
  <c r="M135" i="1"/>
  <c r="M124" i="1" s="1"/>
  <c r="L137" i="1" s="1"/>
  <c r="L123" i="1" s="1"/>
  <c r="L453" i="1"/>
  <c r="L351" i="1"/>
  <c r="M351" i="1" s="1"/>
  <c r="M340" i="1" s="1"/>
  <c r="L338" i="1"/>
  <c r="L307" i="1" s="1"/>
  <c r="L53" i="1"/>
  <c r="M53" i="1" s="1"/>
  <c r="M42" i="1" s="1"/>
  <c r="L102" i="1"/>
  <c r="M109" i="1"/>
  <c r="M102" i="1" s="1"/>
  <c r="L353" i="1"/>
  <c r="M359" i="1"/>
  <c r="M353" i="1" s="1"/>
  <c r="M223" i="1"/>
  <c r="M217" i="1" s="1"/>
  <c r="L217" i="1"/>
  <c r="L441" i="1"/>
  <c r="M447" i="1"/>
  <c r="M441" i="1" s="1"/>
  <c r="M212" i="1"/>
  <c r="M206" i="1" s="1"/>
  <c r="L214" i="1" s="1"/>
  <c r="L206" i="1"/>
  <c r="L289" i="1"/>
  <c r="M295" i="1"/>
  <c r="M289" i="1" s="1"/>
  <c r="M287" i="1"/>
  <c r="M281" i="1" s="1"/>
  <c r="L281" i="1"/>
  <c r="M174" i="1"/>
  <c r="M168" i="1" s="1"/>
  <c r="L176" i="1" s="1"/>
  <c r="L168" i="1"/>
  <c r="L21" i="1"/>
  <c r="M27" i="1"/>
  <c r="M21" i="1" s="1"/>
  <c r="L142" i="1"/>
  <c r="M152" i="1"/>
  <c r="M142" i="1" s="1"/>
  <c r="L154" i="1" s="1"/>
  <c r="M16" i="1"/>
  <c r="M10" i="1" s="1"/>
  <c r="L18" i="1" s="1"/>
  <c r="L10" i="1"/>
  <c r="L57" i="1"/>
  <c r="M70" i="1"/>
  <c r="M57" i="1" s="1"/>
  <c r="L30" i="1"/>
  <c r="M36" i="1"/>
  <c r="M30" i="1" s="1"/>
  <c r="L38" i="1" s="1"/>
  <c r="L401" i="1"/>
  <c r="L279" i="1"/>
  <c r="L233" i="1"/>
  <c r="M239" i="1"/>
  <c r="M233" i="1" s="1"/>
  <c r="L244" i="1"/>
  <c r="M250" i="1"/>
  <c r="M244" i="1" s="1"/>
  <c r="L252" i="1" s="1"/>
  <c r="L225" i="1"/>
  <c r="M231" i="1"/>
  <c r="M225" i="1" s="1"/>
  <c r="L178" i="1"/>
  <c r="M184" i="1"/>
  <c r="M178" i="1" s="1"/>
  <c r="L439" i="1"/>
  <c r="L158" i="1"/>
  <c r="M164" i="1"/>
  <c r="M158" i="1" s="1"/>
  <c r="L377" i="1"/>
  <c r="L72" i="1"/>
  <c r="M79" i="1"/>
  <c r="M72" i="1" s="1"/>
  <c r="L111" i="1"/>
  <c r="M121" i="1"/>
  <c r="M111" i="1" s="1"/>
  <c r="V449" i="1" l="1"/>
  <c r="V407" i="1" s="1"/>
  <c r="U407" i="1"/>
  <c r="V40" i="1"/>
  <c r="V20" i="1" s="1"/>
  <c r="U20" i="1"/>
  <c r="V186" i="1"/>
  <c r="V166" i="1" s="1"/>
  <c r="U166" i="1"/>
  <c r="U257" i="1"/>
  <c r="V304" i="1"/>
  <c r="V257" i="1" s="1"/>
  <c r="U216" i="1"/>
  <c r="V241" i="1"/>
  <c r="V216" i="1" s="1"/>
  <c r="U254" i="1" s="1"/>
  <c r="V403" i="1"/>
  <c r="V379" i="1" s="1"/>
  <c r="U379" i="1"/>
  <c r="U92" i="1"/>
  <c r="V139" i="1"/>
  <c r="V92" i="1" s="1"/>
  <c r="U156" i="1" s="1"/>
  <c r="M100" i="1"/>
  <c r="M93" i="1" s="1"/>
  <c r="M88" i="1"/>
  <c r="M81" i="1" s="1"/>
  <c r="M137" i="1"/>
  <c r="M123" i="1" s="1"/>
  <c r="L139" i="1" s="1"/>
  <c r="L340" i="1"/>
  <c r="M338" i="1"/>
  <c r="M307" i="1" s="1"/>
  <c r="L90" i="1"/>
  <c r="L56" i="1" s="1"/>
  <c r="L42" i="1"/>
  <c r="M214" i="1"/>
  <c r="M205" i="1" s="1"/>
  <c r="L205" i="1"/>
  <c r="M18" i="1"/>
  <c r="M9" i="1" s="1"/>
  <c r="L9" i="1"/>
  <c r="M176" i="1"/>
  <c r="M167" i="1" s="1"/>
  <c r="L186" i="1" s="1"/>
  <c r="L167" i="1"/>
  <c r="L361" i="1"/>
  <c r="M377" i="1"/>
  <c r="M361" i="1" s="1"/>
  <c r="L258" i="1"/>
  <c r="M279" i="1"/>
  <c r="M258" i="1" s="1"/>
  <c r="L304" i="1" s="1"/>
  <c r="L141" i="1"/>
  <c r="M154" i="1"/>
  <c r="M141" i="1" s="1"/>
  <c r="M401" i="1"/>
  <c r="M380" i="1" s="1"/>
  <c r="L403" i="1" s="1"/>
  <c r="L380" i="1"/>
  <c r="M38" i="1"/>
  <c r="M29" i="1" s="1"/>
  <c r="L40" i="1" s="1"/>
  <c r="L29" i="1"/>
  <c r="L243" i="1"/>
  <c r="M252" i="1"/>
  <c r="M243" i="1" s="1"/>
  <c r="L408" i="1"/>
  <c r="M439" i="1"/>
  <c r="M408" i="1" s="1"/>
  <c r="L449" i="1" s="1"/>
  <c r="L241" i="1"/>
  <c r="U451" i="1" l="1"/>
  <c r="U256" i="1" s="1"/>
  <c r="U306" i="1"/>
  <c r="V156" i="1"/>
  <c r="V55" i="1" s="1"/>
  <c r="U198" i="1" s="1"/>
  <c r="U55" i="1"/>
  <c r="U204" i="1"/>
  <c r="V254" i="1"/>
  <c r="V204" i="1" s="1"/>
  <c r="M90" i="1"/>
  <c r="M56" i="1" s="1"/>
  <c r="M40" i="1"/>
  <c r="M20" i="1" s="1"/>
  <c r="L20" i="1"/>
  <c r="L166" i="1"/>
  <c r="M186" i="1"/>
  <c r="M166" i="1" s="1"/>
  <c r="L257" i="1"/>
  <c r="M304" i="1"/>
  <c r="M257" i="1" s="1"/>
  <c r="L92" i="1"/>
  <c r="M139" i="1"/>
  <c r="M92" i="1" s="1"/>
  <c r="L216" i="1"/>
  <c r="M241" i="1"/>
  <c r="M216" i="1" s="1"/>
  <c r="L254" i="1" s="1"/>
  <c r="L407" i="1"/>
  <c r="M449" i="1"/>
  <c r="M407" i="1" s="1"/>
  <c r="M403" i="1"/>
  <c r="M379" i="1" s="1"/>
  <c r="L379" i="1"/>
  <c r="V451" i="1" l="1"/>
  <c r="V256" i="1" s="1"/>
  <c r="U8" i="1"/>
  <c r="V198" i="1"/>
  <c r="V8" i="1" s="1"/>
  <c r="U200" i="1" s="1"/>
  <c r="L156" i="1"/>
  <c r="M156" i="1" s="1"/>
  <c r="M55" i="1" s="1"/>
  <c r="L198" i="1" s="1"/>
  <c r="M254" i="1"/>
  <c r="M204" i="1" s="1"/>
  <c r="L204" i="1"/>
  <c r="L306" i="1"/>
  <c r="M405" i="1"/>
  <c r="M306" i="1" s="1"/>
  <c r="L451" i="1" s="1"/>
  <c r="V200" i="1" l="1"/>
  <c r="V5" i="1" s="1"/>
  <c r="U202" i="1" s="1"/>
  <c r="U4" i="1" s="1"/>
  <c r="U5" i="1"/>
  <c r="L55" i="1"/>
  <c r="M451" i="1"/>
  <c r="M256" i="1" s="1"/>
  <c r="L256" i="1"/>
  <c r="L8" i="1"/>
  <c r="M198" i="1"/>
  <c r="M8" i="1" s="1"/>
  <c r="L200" i="1" s="1"/>
  <c r="V202" i="1" l="1"/>
  <c r="V4" i="1" s="1"/>
  <c r="M200" i="1"/>
  <c r="M5" i="1" s="1"/>
  <c r="L202" i="1" s="1"/>
  <c r="L5" i="1"/>
  <c r="U472" i="1" l="1"/>
  <c r="V472" i="1" s="1"/>
  <c r="V474" i="1" s="1"/>
  <c r="V475" i="1" s="1"/>
  <c r="V476" i="1" s="1"/>
  <c r="V477" i="1" s="1"/>
  <c r="V478" i="1" s="1"/>
  <c r="L4" i="1"/>
  <c r="M202" i="1"/>
  <c r="M4" i="1" s="1"/>
  <c r="L472" i="1" s="1"/>
  <c r="M47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00000000-0006-0000-0000-000001000000}">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00000000-0006-0000-0000-000002000000}">
      <text>
        <r>
          <rPr>
            <b/>
            <sz val="9"/>
            <color indexed="81"/>
            <rFont val="Tahoma"/>
            <family val="2"/>
          </rPr>
          <t>Naturaleza del concepto (ver menú contextual)</t>
        </r>
      </text>
    </comment>
    <comment ref="C3" authorId="0" shapeId="0" xr:uid="{00000000-0006-0000-0000-000003000000}">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00000000-0006-0000-0000-000004000000}">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00000000-0006-0000-0000-000005000000}">
      <text>
        <r>
          <rPr>
            <b/>
            <sz val="9"/>
            <color indexed="81"/>
            <rFont val="Tahoma"/>
            <family val="2"/>
          </rPr>
          <t>Descripción corta de la línea de medición</t>
        </r>
      </text>
    </comment>
    <comment ref="F3" authorId="0" shapeId="0" xr:uid="{00000000-0006-0000-0000-000006000000}">
      <text>
        <r>
          <rPr>
            <b/>
            <sz val="9"/>
            <color indexed="81"/>
            <rFont val="Tahoma"/>
            <family val="2"/>
          </rPr>
          <t>Columna A: Número de unidades iguales de la línea de medición</t>
        </r>
      </text>
    </comment>
    <comment ref="G3" authorId="0" shapeId="0" xr:uid="{00000000-0006-0000-0000-000007000000}">
      <text>
        <r>
          <rPr>
            <b/>
            <sz val="9"/>
            <color indexed="81"/>
            <rFont val="Tahoma"/>
            <family val="2"/>
          </rPr>
          <t>Columna B: Longitud de la línea de medición</t>
        </r>
      </text>
    </comment>
    <comment ref="H3" authorId="0" shapeId="0" xr:uid="{00000000-0006-0000-0000-000008000000}">
      <text>
        <r>
          <rPr>
            <b/>
            <sz val="9"/>
            <color indexed="81"/>
            <rFont val="Tahoma"/>
            <family val="2"/>
          </rPr>
          <t>Columna C: Anchura de la línea de medición</t>
        </r>
      </text>
    </comment>
    <comment ref="I3" authorId="0" shapeId="0" xr:uid="{00000000-0006-0000-0000-000009000000}">
      <text>
        <r>
          <rPr>
            <b/>
            <sz val="9"/>
            <color indexed="81"/>
            <rFont val="Tahoma"/>
            <family val="2"/>
          </rPr>
          <t>Columna D: Altura de la línea de medición</t>
        </r>
      </text>
    </comment>
    <comment ref="J3" authorId="0" shapeId="0" xr:uid="{00000000-0006-0000-0000-00000A000000}">
      <text>
        <r>
          <rPr>
            <b/>
            <sz val="9"/>
            <color indexed="81"/>
            <rFont val="Tahoma"/>
            <family val="2"/>
          </rPr>
          <t>Cantidad Verde: Referencia a otra partida Naranja: Fórmula de medición Azul: Expresión</t>
        </r>
      </text>
    </comment>
    <comment ref="K3" authorId="0" shapeId="0" xr:uid="{00000000-0006-0000-0000-00000B000000}">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00000000-0006-0000-0000-00000C000000}">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M3" authorId="0" shapeId="0" xr:uid="{00000000-0006-0000-0000-00000D000000}">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 ref="N3" authorId="0" shapeId="0" xr:uid="{BBF4F451-FFE5-4AC4-A7D8-3DEEA793ED70}">
      <text>
        <r>
          <rPr>
            <b/>
            <sz val="9"/>
            <color indexed="81"/>
            <rFont val="Tahoma"/>
            <family val="2"/>
          </rPr>
          <t>Descripción corta de la línea de medición</t>
        </r>
      </text>
    </comment>
    <comment ref="O3" authorId="0" shapeId="0" xr:uid="{68FF139A-F76B-47FE-B265-E10C3FCA765A}">
      <text>
        <r>
          <rPr>
            <b/>
            <sz val="9"/>
            <color indexed="81"/>
            <rFont val="Tahoma"/>
            <family val="2"/>
          </rPr>
          <t>Columna A: Número de unidades iguales de la línea de medición</t>
        </r>
      </text>
    </comment>
    <comment ref="P3" authorId="0" shapeId="0" xr:uid="{A0C31A24-D9B3-4FC9-ABA8-CB6E72D464AA}">
      <text>
        <r>
          <rPr>
            <b/>
            <sz val="9"/>
            <color indexed="81"/>
            <rFont val="Tahoma"/>
            <family val="2"/>
          </rPr>
          <t>Columna B: Longitud de la línea de medición</t>
        </r>
      </text>
    </comment>
    <comment ref="Q3" authorId="0" shapeId="0" xr:uid="{6A60B29D-26BC-4063-BB03-F6EBF0240BA7}">
      <text>
        <r>
          <rPr>
            <b/>
            <sz val="9"/>
            <color indexed="81"/>
            <rFont val="Tahoma"/>
            <family val="2"/>
          </rPr>
          <t>Columna C: Anchura de la línea de medición</t>
        </r>
      </text>
    </comment>
    <comment ref="R3" authorId="0" shapeId="0" xr:uid="{A075327C-28D9-461A-9D56-058BFAF10106}">
      <text>
        <r>
          <rPr>
            <b/>
            <sz val="9"/>
            <color indexed="81"/>
            <rFont val="Tahoma"/>
            <family val="2"/>
          </rPr>
          <t>Columna D: Altura de la línea de medición</t>
        </r>
      </text>
    </comment>
    <comment ref="S3" authorId="0" shapeId="0" xr:uid="{B63E0FEE-694E-411B-B93A-A547C793B9E9}">
      <text>
        <r>
          <rPr>
            <b/>
            <sz val="9"/>
            <color indexed="81"/>
            <rFont val="Tahoma"/>
            <family val="2"/>
          </rPr>
          <t>Cantidad Verde: Referencia a otra partida Naranja: Fórmula de medición Azul: Expresión</t>
        </r>
      </text>
    </comment>
    <comment ref="T3" authorId="0" shapeId="0" xr:uid="{64F8A652-30B0-4306-B95F-C95DB115ECC4}">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U3" authorId="0" shapeId="0" xr:uid="{8DE00658-4959-4246-A11D-410DBEC19C1E}">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V3" authorId="0" shapeId="0" xr:uid="{A06CD74E-CCB3-451A-AC2B-7FA61FF721BC}">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 ref="J476" authorId="0" shapeId="0" xr:uid="{3D4D16F0-3DCF-49A2-8C16-B1646E296D80}">
      <text>
        <r>
          <rPr>
            <sz val="9"/>
            <color indexed="81"/>
            <rFont val="Tahoma"/>
            <family val="2"/>
          </rPr>
          <t>IVA no incluido</t>
        </r>
      </text>
    </comment>
    <comment ref="S476" authorId="0" shapeId="0" xr:uid="{4D6C5DCE-5935-41F2-A52F-AD5FA6CABE5D}">
      <text>
        <r>
          <rPr>
            <sz val="9"/>
            <color indexed="81"/>
            <rFont val="Tahoma"/>
            <family val="2"/>
          </rPr>
          <t>IVA no incluido</t>
        </r>
      </text>
    </comment>
    <comment ref="J478" authorId="0" shapeId="0" xr:uid="{31F9A36F-0FA8-45C8-9DF5-F5EBF6EDB59F}">
      <text>
        <r>
          <rPr>
            <sz val="9"/>
            <color indexed="81"/>
            <rFont val="Tahoma"/>
            <family val="2"/>
          </rPr>
          <t>IVA incluido</t>
        </r>
      </text>
    </comment>
    <comment ref="S478" authorId="0" shapeId="0" xr:uid="{863401B3-23B3-4419-A45A-1A8597858D4D}">
      <text>
        <r>
          <rPr>
            <sz val="9"/>
            <color indexed="81"/>
            <rFont val="Tahoma"/>
            <family val="2"/>
          </rPr>
          <t>IVA incluido</t>
        </r>
      </text>
    </comment>
  </commentList>
</comments>
</file>

<file path=xl/sharedStrings.xml><?xml version="1.0" encoding="utf-8"?>
<sst xmlns="http://schemas.openxmlformats.org/spreadsheetml/2006/main" count="934" uniqueCount="455">
  <si>
    <t>DEPÓSITO DE VENTAS</t>
  </si>
  <si>
    <t>Presupuesto</t>
  </si>
  <si>
    <t>Código</t>
  </si>
  <si>
    <t>Nat</t>
  </si>
  <si>
    <t>Ud</t>
  </si>
  <si>
    <t>Resumen</t>
  </si>
  <si>
    <t>Comentario</t>
  </si>
  <si>
    <t>N</t>
  </si>
  <si>
    <t>Longitud</t>
  </si>
  <si>
    <t>Anchura</t>
  </si>
  <si>
    <t>Altura</t>
  </si>
  <si>
    <t>Cantidad</t>
  </si>
  <si>
    <t>CanPres</t>
  </si>
  <si>
    <t>Pres</t>
  </si>
  <si>
    <t>ImpPres</t>
  </si>
  <si>
    <t>01.OC</t>
  </si>
  <si>
    <t>Capítulo</t>
  </si>
  <si>
    <t/>
  </si>
  <si>
    <t>OBRA CIVIL</t>
  </si>
  <si>
    <t>01.01 ACYASF</t>
  </si>
  <si>
    <t>ACONDICIONAMIENTO, HORMIGONADO Y ASFALTADO</t>
  </si>
  <si>
    <t>01.01.01</t>
  </si>
  <si>
    <t>LEVANTAMIENTO TOPOGRÁFICO</t>
  </si>
  <si>
    <t>01.01.02</t>
  </si>
  <si>
    <t>ESTUDIO DE ALTERNATIVAS</t>
  </si>
  <si>
    <t>01.01.03</t>
  </si>
  <si>
    <t>DISEÑO, PROCEDIMIENTOS CONSTRUCTIVOS Y CÁLCULO ESTRUCTURAL</t>
  </si>
  <si>
    <t>m21U01B</t>
  </si>
  <si>
    <t>DEMOLICIONES</t>
  </si>
  <si>
    <t>m21U01BF</t>
  </si>
  <si>
    <t>FIRMES</t>
  </si>
  <si>
    <t>m21U01BF040</t>
  </si>
  <si>
    <t>Partida</t>
  </si>
  <si>
    <t>m3</t>
  </si>
  <si>
    <t>DEMOLICIÓN COMPRESOR FIRME BASE HORMIGÓN</t>
  </si>
  <si>
    <t>Levantado con compresor de firme con base de hormigón hidráulico, incluso retirada y carga de productos, medido sobre perfil, sin transporte. Conforme a ORDEN FOM/1382/2002-PG3-Art.301 y RD 105/2008.</t>
  </si>
  <si>
    <t>Total m21U01BF040</t>
  </si>
  <si>
    <t>Total m21U01BF</t>
  </si>
  <si>
    <t>Total m21U01B</t>
  </si>
  <si>
    <t>m21U02</t>
  </si>
  <si>
    <t>MOVIMIENTO DE TIERRAS</t>
  </si>
  <si>
    <t>m21U02A</t>
  </si>
  <si>
    <t>TRABAJOS PRELIMINARES</t>
  </si>
  <si>
    <t>m21U02A010</t>
  </si>
  <si>
    <t>m2</t>
  </si>
  <si>
    <t>DESPEJE Y DESBROCE TERRENO</t>
  </si>
  <si>
    <t>Despeje y desbroce del terreno, por medios mecánicos, con un espesor medio de 20 centímetros, incluso carga de productos, sin transporte. Conforme a ORDEN FOM/1382/2002-PG3-Art.300 y RD 105/2008.</t>
  </si>
  <si>
    <t>Total m21U02A010</t>
  </si>
  <si>
    <t>Total m21U02A</t>
  </si>
  <si>
    <t>m21U02B</t>
  </si>
  <si>
    <t>EXCAVACIONES A CIELO ABIERTO</t>
  </si>
  <si>
    <t>m21U02BZ</t>
  </si>
  <si>
    <t>ZANJAS Y POZOS</t>
  </si>
  <si>
    <t>m21U02BZ020</t>
  </si>
  <si>
    <t>EXCAVACIÓN ZANJA MEDIOS MANUALES H &lt; 3 m</t>
  </si>
  <si>
    <t>Excavación en zanja, por medios mecánicos y hasta 3 metros de profundidad, en cualquier clase de terreno (excepto roca), incluso formación de caballeros y carga de productos sobrantes, medida sobre perfil, sin transporte. Conforme a ORDEN FOM/1382/2002-PG3-Art.321, CTE DB-SE-C y NTE-ADZ.</t>
  </si>
  <si>
    <t>Total m21U02BZ020</t>
  </si>
  <si>
    <t>Total m21U02BZ</t>
  </si>
  <si>
    <t>Total m21U02B</t>
  </si>
  <si>
    <t>Total m21U02</t>
  </si>
  <si>
    <t>m21U03EP</t>
  </si>
  <si>
    <t>PAVIMENTOS Y JUNTAS DE CONTRACCIÓN</t>
  </si>
  <si>
    <t>m21U03EP020</t>
  </si>
  <si>
    <t>HORMIGÓN EN MASA HM-15/B/40 CEM II/SR EN PAVIMENTOS</t>
  </si>
  <si>
    <t>Suministro y puesta en obra de hormigón en masa, vibrado y moldeado en su caso, en pavimento de aparcamientos de superficie, aceras, pistas deportivas, paseos y escaleras, con acabado superficial visto, con HM-15/B/40 (CEM-II/SR), con árido procedente de cantera, de tamaño máximo 40 mm y consistencia blanda, incluso parte proporcional de juntas de contracción. Conforme ORDEN FOM/1382/2002-PG3-Art. 550. Hormigón con marcado CE y DdP (Declaración de prestaciones) según Reglamento (UE) 305/2011.</t>
  </si>
  <si>
    <t>Total m21U03EP020</t>
  </si>
  <si>
    <t>m21U03EP040</t>
  </si>
  <si>
    <t>m</t>
  </si>
  <si>
    <t>EJECUCIÓN JUNTA CONTRACCIÓN</t>
  </si>
  <si>
    <t>Ejecución de junta de contracción de pavimento de losas de hormigón en masa tipo HP-35 , mediante serrado mecánico del hormigón endurecido, incluso limpieza y sellado de junta con masilla bituminosa de aplicación en caliente o en frio. Conforme ORDEN FOM/1382/2002-PG3-Art. 550. Hormigón con marcado CE y DdP (Declaración de prestaciones) según Reglamento (UE) 305/2011.</t>
  </si>
  <si>
    <t>Total m21U03EP040</t>
  </si>
  <si>
    <t>Total m21U03EP</t>
  </si>
  <si>
    <t>m21U04</t>
  </si>
  <si>
    <t>ESTRUCTURAS</t>
  </si>
  <si>
    <t>m21U04C</t>
  </si>
  <si>
    <t>ENCOFRADOS</t>
  </si>
  <si>
    <t>m21U04CA</t>
  </si>
  <si>
    <t>CIMENTACIONES</t>
  </si>
  <si>
    <t>m21U04CA010</t>
  </si>
  <si>
    <t>ENCOFRADO MADERA CIMENTACIÓN</t>
  </si>
  <si>
    <t>Encofrado de madera en cimentaciones (zapatas, recalces, vigas, riostras, encepados, losas, etc.) colocado a cualquier profundidad incluso desencofrado y limpieza. Según EHE-08 y NTE-EME. Materiales con marcado CE y DdP (Declaración de prestaciones) según Reglamento Europeo (UE) 305/2011.</t>
  </si>
  <si>
    <t>Zapata muro A laterales</t>
  </si>
  <si>
    <t>Zapata muro A transv</t>
  </si>
  <si>
    <t>Zapata muro B laterales</t>
  </si>
  <si>
    <t>Zapata muro B transv</t>
  </si>
  <si>
    <t>Escaleras zapata sup lateral</t>
  </si>
  <si>
    <t>Escaleras zapata sup transv</t>
  </si>
  <si>
    <t>ATR zapata lateral</t>
  </si>
  <si>
    <t>ATR zapata transv</t>
  </si>
  <si>
    <t>Total m21U04CA010</t>
  </si>
  <si>
    <t>Total m21U04CA</t>
  </si>
  <si>
    <t>m21U04CB</t>
  </si>
  <si>
    <t>MUROS</t>
  </si>
  <si>
    <t>m21U04CB030</t>
  </si>
  <si>
    <t>ENCOFRADO METÁLICO MUROS</t>
  </si>
  <si>
    <t>Encofrado de paneles metálicos en muros (de cimentación o estructura) colocado a cualquier profundidad o altura incluso desencofrado, limpieza y desencofrantes. Según EHE-08. Materiales con marcado CE y DdP (Declaración de prestaciones) según Reglamento Europeo (UE) 305/2011.</t>
  </si>
  <si>
    <t>Muro A</t>
  </si>
  <si>
    <t>Muro B</t>
  </si>
  <si>
    <t>Total m21U04CB030</t>
  </si>
  <si>
    <t>Total m21U04CB</t>
  </si>
  <si>
    <t>m21U04CD</t>
  </si>
  <si>
    <t>VIGAS</t>
  </si>
  <si>
    <t>m21U04CD010</t>
  </si>
  <si>
    <t>ENCOFRADO MADERA EN VIGAS</t>
  </si>
  <si>
    <t>Encofrado de madera en vigas, colocado a cualquier altura incluso desencofrado y limpieza. Según EHE-08 y NTE-EME. Materiales con marcado CE y DdP (Declaración de prestaciones) según Reglamento Europeo (UE) 305/2011.</t>
  </si>
  <si>
    <t>ATR viga descolgada</t>
  </si>
  <si>
    <t>ATR viga descolgada 2</t>
  </si>
  <si>
    <t>Total m21U04CD010</t>
  </si>
  <si>
    <t>Total m21U04CD</t>
  </si>
  <si>
    <t>Total m21U04C</t>
  </si>
  <si>
    <t>m21U04D</t>
  </si>
  <si>
    <t>HORMIGÓN ESTRUCTURAL</t>
  </si>
  <si>
    <t>m21U04DM</t>
  </si>
  <si>
    <t>m21U04DM080</t>
  </si>
  <si>
    <t>HORMIGÓN PARA ARMAR HA-35/B/20/IIa+Qb EN MUROS</t>
  </si>
  <si>
    <t>Suministro y puesta en obra de hormigón para armar, moldeado y vibrado, en muros y paramentos de cualquier forma y dimensión y colocado a cualquier altura, con HA-35/B/20/IIa+Qb (cemento /SR), con árido procedente de cantera, de tamaño máximo 20 mm y consistencia plástica. Conforme a ORDEN FOM/1382/2002-PG3-Art.600/630. Según normas EHE-08 y CTE DB-SE. Componentes del hormigón con marcado CE y DdP (Declaración de prestaciones) según Reglamento (UE) 305/2011.</t>
  </si>
  <si>
    <t>Total m21U04DM080</t>
  </si>
  <si>
    <t>Total m21U04DM</t>
  </si>
  <si>
    <t>m21U04DV</t>
  </si>
  <si>
    <t>m21U04DV055</t>
  </si>
  <si>
    <t>HORMIGÓN PARA ARMAR HA-30/B/20/IIb EN VIGAS</t>
  </si>
  <si>
    <t>Suministro y puesta en obra de hormigón para armar, moldeado y vibrado, en vigas, zunchos y correas de cualquier forma y dimensión y colocado a cualquier altura, con HA-30/B/20/ IIb, con árido procedente de cantera, de tamaño máximo 20 mm y consistencia plástica. Conforme a ORDEN FOM/1382/2002-PG3-Art.600/630. Según normas EHE-08, CTE DB-SE y NTE-EHV. Componentes del hormigón con marcado CE y DdP (Declaración de prestaciones) según Reglamento (UE) 305/2011.</t>
  </si>
  <si>
    <t>Total m21U04DV055</t>
  </si>
  <si>
    <t>Total m21U04DV</t>
  </si>
  <si>
    <t>m21U04DA</t>
  </si>
  <si>
    <t>CIMENTACIONES SUPERFICIALES</t>
  </si>
  <si>
    <t>m21U04DA340</t>
  </si>
  <si>
    <t>HORMIGÓN PARA ARMAR HA-30/B/20/IIa+Qb EN ENCEPADOS</t>
  </si>
  <si>
    <t>Suministro y puesta en obra de hormigón para armar, moldeado y vibrado, en encepados, riostras, rampas, jácenas y/o losas de cimentación, colocado a cualquier profundidad, con HA-30/B/20/IIa+Qb (CEM-I /SR), con árido procedente de cantera, de tamaño máximo 20 mm y consistencia blanda. Conforme a ORDEN FOM/1382/2002-PG3-Art.630. Según normas EHE-08, CTE DB-SE-C y NTE-CPE. Componentes del hormigón con marcado CE y DdP (Declaración de prestaciones) según Reglamento (UE) 305/2011.</t>
  </si>
  <si>
    <t>Escaleras zapata sup</t>
  </si>
  <si>
    <t>Escaleras zapata inf</t>
  </si>
  <si>
    <t>ATR zapata</t>
  </si>
  <si>
    <t>Total m21U04DA340</t>
  </si>
  <si>
    <t>Total m21U04DA</t>
  </si>
  <si>
    <t>m21U04DJ</t>
  </si>
  <si>
    <t>ACEROS PARA ARMADURAS</t>
  </si>
  <si>
    <t>m21U04DJ020</t>
  </si>
  <si>
    <t>kg</t>
  </si>
  <si>
    <t>ACERO BARRAS CORRUGADAS B 500 S</t>
  </si>
  <si>
    <t>Suministro y colocación de acero para armaduras en barras corrugadas B 500 S, incluso cortado, doblado y recortes, según peso teórico. Conforme a ORDEN FOM/1382/2002-PG3-Art. 240. Conforme a EHE-08 y CTE DB-SE-A. Barras de acero con marcado CE y DdP (Declaración de prestaciones) según Reglamento Europeo (UE) 305/2011.</t>
  </si>
  <si>
    <t>Zapata muro A</t>
  </si>
  <si>
    <t>Zapata muro B</t>
  </si>
  <si>
    <t>ATR viga colgada</t>
  </si>
  <si>
    <t>ATR viga colgada 2</t>
  </si>
  <si>
    <t>Total m21U04DJ020</t>
  </si>
  <si>
    <t>Total m21U04DJ</t>
  </si>
  <si>
    <t>Total m21U04D</t>
  </si>
  <si>
    <t>m21U04K</t>
  </si>
  <si>
    <t>ESTRUCTURAS METÁLICAS</t>
  </si>
  <si>
    <t>m21U04KA</t>
  </si>
  <si>
    <t>ACEROS</t>
  </si>
  <si>
    <t>m21U04KA010</t>
  </si>
  <si>
    <t>ACERO LAMINADO S275JR EN PERFILES</t>
  </si>
  <si>
    <t>Suministro y colocación de acero laminado tipo S275JR , en perfiles, según peso teórico, incluso casquillos de montaje, embrochalados, empalmes y parte proporcional de pintura antioxidante, recortes y material de soldadura. Conforme a ORDEN FOM/1382/2002-PG3-Art. 640. Según UNE-EN 10025-1:2006, NTE-EAS, NTE-EAV, CTE DB-SE-A y EAE. Acero con marcado CE y DdP (Declaración de prestaciones) según Reglamento (UE) 305/2011.</t>
  </si>
  <si>
    <t>Escalera - Acero conformado</t>
  </si>
  <si>
    <t>Escalera - Anclajes</t>
  </si>
  <si>
    <t>ATR acero laminado</t>
  </si>
  <si>
    <t>ATR acero conformado</t>
  </si>
  <si>
    <t>ATR placa base</t>
  </si>
  <si>
    <t>Total m21U04KA010</t>
  </si>
  <si>
    <t>Total m21U04KA</t>
  </si>
  <si>
    <t>Total m21U04K</t>
  </si>
  <si>
    <t>Total m21U04</t>
  </si>
  <si>
    <t>m21U05C</t>
  </si>
  <si>
    <t>ENCACHADOS Y SUB-BASES</t>
  </si>
  <si>
    <t>m21U05C020</t>
  </si>
  <si>
    <t>SUB-BASE ARENA DE MIGA</t>
  </si>
  <si>
    <t>Sub-base o explanada mejorada de arena de miga, clasificada (suelos seleccionados), puesta en obra y con compactación según Pliego de Condiciones, medida sobre perfil. Arena con marcado CE y DdP (Declaración de prestaciones) según Reglamento (UE) 305/2011.</t>
  </si>
  <si>
    <t>Total m21U05C020</t>
  </si>
  <si>
    <t>Total m21U05C</t>
  </si>
  <si>
    <t>m21U09</t>
  </si>
  <si>
    <t>SANEAMIENTO</t>
  </si>
  <si>
    <t>m21U09A</t>
  </si>
  <si>
    <t>TUBERÍAS</t>
  </si>
  <si>
    <t>m21U09AV</t>
  </si>
  <si>
    <t>POLICLORURO DE VINILO (PVC)</t>
  </si>
  <si>
    <t>m21U09AV010</t>
  </si>
  <si>
    <t>TUBERÍA PVC DOBLE PARED SN8 Ø315 mm</t>
  </si>
  <si>
    <t>Suministro e instalación de tubería de PVC color teja, corrugada exterior y lisa interior, según especificaciones de las Normas UNE-EN 13476-1:2018 y UNE-EN 13476-3:2019, de doble pared y rigidez anular o RCE mínima de 8 kN/m2 (SN mayor o igual a 8 kN/m2 según Norma UNE-EN ISO 9969:2016), de diámetro nominal 315 mm, incluso p.p. de piezas de empalme y uniones con junta elastomérica de estanqueidad.</t>
  </si>
  <si>
    <t>Total m21U09AV010</t>
  </si>
  <si>
    <t>Total m21U09AV</t>
  </si>
  <si>
    <t>Total m21U09A</t>
  </si>
  <si>
    <t>m21U09C</t>
  </si>
  <si>
    <t>VARIOS</t>
  </si>
  <si>
    <t>m21U09C100</t>
  </si>
  <si>
    <t>ud</t>
  </si>
  <si>
    <t>SUMIDERO DE CALZADA</t>
  </si>
  <si>
    <t>Sumidero en calzada para drenaje superficial, incluido cerco y rejilla C-250, arqueta de fábrica de ladrillo enfoscada, enlucido y bruñido, incluso excavación, totalmente terminado.</t>
  </si>
  <si>
    <t>Total m21U09C100</t>
  </si>
  <si>
    <t>Total m21U09C</t>
  </si>
  <si>
    <t>Total m21U09</t>
  </si>
  <si>
    <t>VEPA01</t>
  </si>
  <si>
    <t>PA</t>
  </si>
  <si>
    <t>MODIFICACIÓN DE LA PUERTA DE ACCESO AL DEPOSITO</t>
  </si>
  <si>
    <t>Desmontaje de la puerta actual y la instalación de una nueva puerta de acceso de vehículos y una nueva puerta peatonal a la derecha de la misma, para dar acceso directo a la escalera metálica nueva</t>
  </si>
  <si>
    <t>Total VEPA01</t>
  </si>
  <si>
    <t>VEPA02</t>
  </si>
  <si>
    <t>ACTUACIONES E INSTALACIONES NECESARIAS PARA LA IMPLANTACIÓN DEL CONTROL DE ACCESO</t>
  </si>
  <si>
    <t>Partida alzada para todas las actuaciones necesarias para la instalación de un sistema de control de acceso que pueda requerir departamento de seguridad</t>
  </si>
  <si>
    <t>Total VEPA02</t>
  </si>
  <si>
    <t>Total 01.01.03</t>
  </si>
  <si>
    <t>Total 01.01 ACYASF</t>
  </si>
  <si>
    <t>Total 01.OC</t>
  </si>
  <si>
    <t>02.GESTIONRESI</t>
  </si>
  <si>
    <t>GESTIÓN DE RESIDUOS</t>
  </si>
  <si>
    <t>m21G01</t>
  </si>
  <si>
    <t>TIERRAS Y PETREOS NO CONTAMINADOS</t>
  </si>
  <si>
    <t>m21G01C</t>
  </si>
  <si>
    <t>CARGAS Y TRANSPORTES DE TIERRAS Y PÉTREOS</t>
  </si>
  <si>
    <t>m21G01C030</t>
  </si>
  <si>
    <t>TRANSPORTE DESTINO FINAL &lt;10 km CARGA MECÁNICA</t>
  </si>
  <si>
    <t>Transporte de tierras a destino final a una distancia menor de 10 km, considerando ida y vuelta, con camión basculante cargado a máquina, tratamiento en vertedero y con parte proporcional de medios auxiliares, considerando también la carga.</t>
  </si>
  <si>
    <t>Total m21G01C030</t>
  </si>
  <si>
    <t>Total m21G01C</t>
  </si>
  <si>
    <t>Total m21G01</t>
  </si>
  <si>
    <t>m21G02</t>
  </si>
  <si>
    <t>RESIDUOS DE CONSTRUCCIÓN Y DEMOLICIÓN (RCD)</t>
  </si>
  <si>
    <t>m21G02A</t>
  </si>
  <si>
    <t>TRATAMIENTO EN OBRA</t>
  </si>
  <si>
    <t>m21G02A010</t>
  </si>
  <si>
    <t>CLASIFICACIÓN DE RESIDUOS</t>
  </si>
  <si>
    <t>Clasificación a pie de obra de residuos de construcción o demolición en fracciones según normativa vigente, con medios manuales.</t>
  </si>
  <si>
    <t>Total m21G02A010</t>
  </si>
  <si>
    <t>Total m21G02A</t>
  </si>
  <si>
    <t>m21G02B</t>
  </si>
  <si>
    <t>SACOS Y CONTENEDORES</t>
  </si>
  <si>
    <t>m21G02B030</t>
  </si>
  <si>
    <t>ENTREGA Y RECOGIDA CONTENEDOR 8 m3</t>
  </si>
  <si>
    <t>Servicio de entrega y recogida de contenedor de 8 m3. de capacidad, colocado a pie de carga y considerando una distancia no superior a 10 km. Según Real Decreto 105/2008, de 1 de febrero por el que se regula la producción y gestión de los residuos de construcción y demolición.</t>
  </si>
  <si>
    <t>Total m21G02B030</t>
  </si>
  <si>
    <t>Total m21G02B</t>
  </si>
  <si>
    <t>m21G02C</t>
  </si>
  <si>
    <t>CARGA DE RCD</t>
  </si>
  <si>
    <t>m21G02C020</t>
  </si>
  <si>
    <t>CARGA RCD ESCOMBROS SOBRE DUMPER A MANO</t>
  </si>
  <si>
    <t>Carga de residuos no peligrosos valorables (maderas, plásticos, cartones, chatarras...) sobre dumper o camión pequeño, por medios manuales, a granel, y considerando dos peones ordinarios en la carga, sin incluir transporte, sin medidas de protección colectivas.</t>
  </si>
  <si>
    <t>Total m21G02C020</t>
  </si>
  <si>
    <t>Total m21G02C</t>
  </si>
  <si>
    <t>Total m21G02</t>
  </si>
  <si>
    <t>m21G03</t>
  </si>
  <si>
    <t>RESIDUOS PELIGROSOS (RP)</t>
  </si>
  <si>
    <t>m21G03A</t>
  </si>
  <si>
    <t>ALMACÉN DE RESIDUOS PELIGROSOS</t>
  </si>
  <si>
    <t>m21G03A010</t>
  </si>
  <si>
    <t>ALMACÉN RESIDUOS PELIGROSOS 9x3 m CON SOLERA</t>
  </si>
  <si>
    <t>Almacén para los residuos peligrosos generados en obra, (aceites, baterías, envases contaminados, aerosoles...) compuesta por una estructura de chapa prefabricada de 9x3 m que supone la parte superior del almacenamiento (techo y las paredes). La parte inferior consta de una solera de hormigón, (que actuará como cubeto de retención ante posibles derrames líquidos), incluso excavación, encachado de piedra, lámina de plástico, solera de hormigón de 15 cm de espesor con mallazo. Incluida la conexión de dicha solera a una arqueta prefabricada para su recogida debido a vertidos ocasionales, sin vertido a red general de saneamiento. El precio del almacén incluye además un cartel de identificación, un extintor de polvo ABC, así como sepiolita para recoger posibles derrames líquidos pastosos (ej. grasas). Inclusive la mano de obra necesaria para la colocación del cartel, el extintor, la sepiolita, así como de la lámina de plástico y tornillos que sujeten la estructura prefabricada a la solera de hormigón.</t>
  </si>
  <si>
    <t>Total m21G03A010</t>
  </si>
  <si>
    <t>Total m21G03A</t>
  </si>
  <si>
    <t>Total m21G03</t>
  </si>
  <si>
    <t>Total 02.GESTIONRESI</t>
  </si>
  <si>
    <t>03.SYS</t>
  </si>
  <si>
    <t>SEGURIDAD Y SALUD</t>
  </si>
  <si>
    <t>m21S01</t>
  </si>
  <si>
    <t>PROTECCIONES INDIVIDUALES</t>
  </si>
  <si>
    <t>m21S01J</t>
  </si>
  <si>
    <t>E.P.I. PARA LA CABEZA</t>
  </si>
  <si>
    <t>m21S01J320</t>
  </si>
  <si>
    <t>PAR TAPONES ANTIRUIDO SILICONA</t>
  </si>
  <si>
    <t>Par de tapones antiruido fabricados con silicona moldeable de uso independiente, o unidos por una banda de longitud ajustable compatible con el casco de seguridad, homologados. Según UNE-EN 458, UNE-EN 352, R.D. 773/97 y R.D. 1407/92. Equipo de Protección Individual (EPI) con marcado de conformidad CE.</t>
  </si>
  <si>
    <t>Total m21S01J320</t>
  </si>
  <si>
    <t>m21S01J011</t>
  </si>
  <si>
    <t>BARBUQUEJO CON MENTONERA PARA CASCO</t>
  </si>
  <si>
    <t>Cinta o correa elástica de sujeción con mentonera para casco de seguridad.</t>
  </si>
  <si>
    <t>Total m21S01J011</t>
  </si>
  <si>
    <t>m21S01J231</t>
  </si>
  <si>
    <t>CASCO DE SEGURIDAD AJUSTABLE RUEDA</t>
  </si>
  <si>
    <t>Casco de seguridad con arnés de cabeza ajustable por medio de rueda dentada, para uso normal y eléctrico hasta 440 V. Según R.D. 773/97 y R.D. 1407/92. Equipo de Protección Individual (EPI) con marcado de conformidad CE.</t>
  </si>
  <si>
    <t>Total m21S01J231</t>
  </si>
  <si>
    <t>m21S01J241</t>
  </si>
  <si>
    <t>GAFAS ANTIPOLVO</t>
  </si>
  <si>
    <t>Botiquín de urgencia para obra fabricado en chapa de acero, pintado al horno con tratamiento anticorrosivo y serigrafía de cruz. Color blanco, con contenidos mínimos obligatorios, colocado.</t>
  </si>
  <si>
    <t>Total m21S01J241</t>
  </si>
  <si>
    <t>Total m21S01J</t>
  </si>
  <si>
    <t>m21S01L</t>
  </si>
  <si>
    <t>E.P.I. PARA LAS MANOS</t>
  </si>
  <si>
    <t>m21S01L030</t>
  </si>
  <si>
    <t>PAR GUANTES GOMA FINA</t>
  </si>
  <si>
    <t>Par de guantes de protección de goma fina reforzados para trabajos con materiales húmedos, albañilería, pocería, hormigonado, etc. Según UNE-EN 420, UNE-EN 388, R.D. 773/97 y R.D. 1407/92. Equipo de Protección Individual (EPI) con marcado de conformidad CE.</t>
  </si>
  <si>
    <t>Total m21S01L030</t>
  </si>
  <si>
    <t>Total m21S01L</t>
  </si>
  <si>
    <t>m21S01M</t>
  </si>
  <si>
    <t>E.P.I. PARA LAS PIERNAS Y PIES</t>
  </si>
  <si>
    <t>m21S01M130</t>
  </si>
  <si>
    <t>PAR DE ZAPATOS SERRAJE</t>
  </si>
  <si>
    <t>Par de zapatos de seguridad contra riesgos mecánicos fabricados en serraje y lona de algodón transpirable con puntera y plantilla metálica y piso resistente a la abrasión, homologados. Según UNE-EN ISO 20345, UNE-EN ISO 20346, UNE-EN ISO 20347, R.D. 773/97 y R.D. 1407/92. Equipo de Protección Individual (EPI) con marcado de conformidad CE.</t>
  </si>
  <si>
    <t>Total m21S01M130</t>
  </si>
  <si>
    <t>Total m21S01M</t>
  </si>
  <si>
    <t>m21S01N</t>
  </si>
  <si>
    <t>E.P.I. ANTICAÍDAS</t>
  </si>
  <si>
    <t>m21S01N030</t>
  </si>
  <si>
    <t>CINTURÓN SEGURIDAD SUJECCIÓN POLIÉSTER</t>
  </si>
  <si>
    <t>Cinturón de seguridad de sujeción fabricado con poliéster, anillas de acero estampado con resistencia superior a 115 kg/mm2, hebilla con mordiente de acero estampado, cuerda de amarre de alta tenacidad y 1,00 m de longitud fabricada en nylon y mosquetón de cierre, homologado. Según UNE-EN 358, R.D. 773/97 y R.D. 1407/92. Equipo de Protección Individual (EPI) con marcado de conformidad CE.</t>
  </si>
  <si>
    <t>m21S01N110</t>
  </si>
  <si>
    <t>LÍNEA HORIZONTAL DE SEGURIDAD</t>
  </si>
  <si>
    <t>Línea horizontal de seguridad para anclaje y desplazamiento de cinturones de seguridad con cuerda para dispositivo anticaída, D=14 mm, y anclaje autoblocante de fijación de mosquetones de los cinturones, i/desmontaje. Según UNE-EN 795, R.D. 773/97 y R.D. 1407/92. Equipo de Protección Individual (EPI) con marcado de conformidad CE de cada uno de sus elementos.</t>
  </si>
  <si>
    <t>Total m21S01N</t>
  </si>
  <si>
    <t>Total m21S01</t>
  </si>
  <si>
    <t>m21S02</t>
  </si>
  <si>
    <t>PROTECCIONES COLECTIVAS</t>
  </si>
  <si>
    <t>m21S02A</t>
  </si>
  <si>
    <t>SEÑALIZACIÓN</t>
  </si>
  <si>
    <t>m21S02A010</t>
  </si>
  <si>
    <t>SEÑAL PELIGRO 1,35 m</t>
  </si>
  <si>
    <t>Suministro y colocación de señal de peligro reflectante tipo "A" de 1,35 m con trípode de acero galvanizado de acuerdo con las especificaciones y modelos del MOPTMA; amortizable en 10 usos, incluso retirada y recolocación durante la obra las veces que sean necesarias. Según R.D. 485/97 y R.D. 1627/97.</t>
  </si>
  <si>
    <t>Total m21S02A010</t>
  </si>
  <si>
    <t>m21S02A040</t>
  </si>
  <si>
    <t>SEÑAL PRECEPTIVA 1,20 m</t>
  </si>
  <si>
    <t>Suministro y colocación de señal preceptiva reflectante tipo "B" de 1,20 m con trípode de acero galvanizado de acuerdo con las especificaciones y modelos del MOPTMA; amortizable en 10 usos, incluso retirada y recolocación durante la obra las veces que sean necesarias. Según R.D. 485/97 y R.D. 1627/97.</t>
  </si>
  <si>
    <t>Total m21S02A040</t>
  </si>
  <si>
    <t>m21S02A080</t>
  </si>
  <si>
    <t>PANEL DIRECCIONAL 1,95x0,45 m</t>
  </si>
  <si>
    <t>Suministro y colocación de panel direccional provisional reflectante de 1,95x0,45 m sobre soportes con base en T de acuerdo con las especificaciones y modelos del MOPTMA; amortizable en 10 usos, incluso retirada y recolocación durante la obra las veces que sean necesarias. Según R.D. 485/97 y R.D. 1627/97.</t>
  </si>
  <si>
    <t>Total m21S02A080</t>
  </si>
  <si>
    <t>m21S02A150</t>
  </si>
  <si>
    <t>SEÑAL ADVERTENCIA 45x33 cm</t>
  </si>
  <si>
    <t>Suministro y colocación de señal de seguridad metálica tipo advertencia de 45x33 cm sin soporte metálico; amortizable en 10 usos, incluso retirada y recolocación durante la obra las veces que sean necesarias. Según R.D. 485/97 y R.D. 1627/97.</t>
  </si>
  <si>
    <t>Total m21S02A150</t>
  </si>
  <si>
    <t>m21S02A200</t>
  </si>
  <si>
    <t>CONO BALIZAMIENTO 50 cm</t>
  </si>
  <si>
    <t>Suministro y colocación de cono de balizamiento reflectante de 50 cm de acuerdo con las especificaciones y modelos del MOPTMA; amortizable en 10 usos, incluso retirada y recolocación durante la obra las veces que sean necesarias. Según R.D. 485/97 y R.D. 1627/97.</t>
  </si>
  <si>
    <t>Total m21S02A200</t>
  </si>
  <si>
    <t>m21S02A260</t>
  </si>
  <si>
    <t>PANEL COMPLETO PVC 700x1000 mm</t>
  </si>
  <si>
    <t>Panel completo serigrafiado sobre planchas de PVC blanco de 0,6 mm de espesor nominal. Tamaño 700x1000 mm. Válido para incluir hasta 15 símbolos de señales, incluso textos "Prohibido el paso a toda persona ajena a la obra", i/colocación; amortizable en 10 usos, incluso retirada y recolocación durante la obra las veces que sean necesarias. Según R.D. 485/97 y R.D. 1627/97.</t>
  </si>
  <si>
    <t>Total m21S02A260</t>
  </si>
  <si>
    <t>Total m21S02A</t>
  </si>
  <si>
    <t>m21S02B</t>
  </si>
  <si>
    <t>CERRAMIENTOS</t>
  </si>
  <si>
    <t>m21S02B021</t>
  </si>
  <si>
    <t>VALLA ENREJADO GALVANIZADO/PLIEGUES</t>
  </si>
  <si>
    <t>Valla metálica móvil de módulos prefabricados de 3,50x2,00 m de altura, enrejados de malla de D=5 mm de espesor con cuatro pliegues de refuerzo, bastidores verticales de D=40 mm y 1,50 mm de espesor, todo ello galvanizado en caliente, sobre soporte de hormigón prefabricado de 230x600x150 mm, separados cada 3,50 m, accesorios de fijación, considerando 5 usos, incluso montaje y desmontaje, según R.D. 486/97 y R.D. 1627/97.</t>
  </si>
  <si>
    <t>Total m21S02B021</t>
  </si>
  <si>
    <t>m21S02B070</t>
  </si>
  <si>
    <t>PUERTA PEATONAL CHAPA 1,00x2,00 m</t>
  </si>
  <si>
    <t>Puerta de acceso peatonal de chapa galvanizada de 1,00x2,00 m para colocación en valla de cerramiento de las mismas características, considerando 5 usos, montaje y desmontaje, según R.D. 486/97 y R.D. 1627/97.</t>
  </si>
  <si>
    <t>Total m21S02B070</t>
  </si>
  <si>
    <t>Total m21S02B</t>
  </si>
  <si>
    <t>m21S02F</t>
  </si>
  <si>
    <t>SEGURIDAD CONTRA INCENDIOS</t>
  </si>
  <si>
    <t>m21S02F030</t>
  </si>
  <si>
    <t>EXTINTOR POLVO SECO 6 kg</t>
  </si>
  <si>
    <t>Extintor manual AFPG de polvo seco polivalente A,B,C,E de 6 kg colocado sobre soporte fijado a paramento vertical incluso p.p. de pequeño material, recargas y desmontaje según la normativa vigente, valorado en función del número óptimo de utilizaciones. Según R.D. 486/97 y R.D. 1627/97.</t>
  </si>
  <si>
    <t>Total m21S02F030</t>
  </si>
  <si>
    <t>Total m21S02F</t>
  </si>
  <si>
    <t>m21S02G</t>
  </si>
  <si>
    <t>SEGURIDAD EN INSTALACIONES ELÉCTRICAS</t>
  </si>
  <si>
    <t>m21S02G020</t>
  </si>
  <si>
    <t>DIFERENCIAL 300 mA</t>
  </si>
  <si>
    <t>Suministro, instalación y desmontaje de interruptor diferencial de media sensibilidad de 300 Ma. Según ITC-BT-33 del REBT (R.D. 842/2002) y R.D. 614/2001.</t>
  </si>
  <si>
    <t>Total m21S02G020</t>
  </si>
  <si>
    <t>m21S02G040</t>
  </si>
  <si>
    <t>CUADRO ELÉCTRICO</t>
  </si>
  <si>
    <t>Suministro ,instalación y montaje de cuadro eléctrico formado por armario con aparellaje fijo para alojamiento de aparamenta. Según ITC-BT-33 del REBT (R.D. 842/2002) y R.D. 614/2001.</t>
  </si>
  <si>
    <t>Total m21S02G040</t>
  </si>
  <si>
    <t>m21S02G050</t>
  </si>
  <si>
    <t>TRANSFORMADOR 220/24V 1.000w</t>
  </si>
  <si>
    <t>Suministro e instalación de transformador de seguridad para 220 V de entrada y 24 V de salida para una potencia de 1.000 w. Según ITC-BT-33 del REBT (R.D. 842/2002) y R.D. 614/2001.</t>
  </si>
  <si>
    <t>Total m21S02G050</t>
  </si>
  <si>
    <t>Total m21S02G</t>
  </si>
  <si>
    <t>m21S02H</t>
  </si>
  <si>
    <t>SERVICIOS AFECTADOS, OCUPACIONES Y DESVÍOS</t>
  </si>
  <si>
    <t>m21S02HA</t>
  </si>
  <si>
    <t>ITINERARIOS ALTERNATIVOS PEATONALES</t>
  </si>
  <si>
    <t>m21S02HA010</t>
  </si>
  <si>
    <t>d</t>
  </si>
  <si>
    <t>RAMPA METÁLICA CON DOBLE PASAMANOS</t>
  </si>
  <si>
    <t>Alquiler diario de rampa de acero de 1,50 metros de longitud para una pendiente máxima del 10% y una anchura de 90 cm, con pavimento de chapa lagrimada antideslizante; incluso barandillas laterales con barra intermedia formada por tubos de 40 mm de diámetro y rodapiés laterales de 15 cm de altura. Conforme a CTE DB-SUA.</t>
  </si>
  <si>
    <t>Total m21S02HA010</t>
  </si>
  <si>
    <t>m21S02HA030</t>
  </si>
  <si>
    <t>SEÑAL DIRECCIONAL PEATONAL PROVISIONAL</t>
  </si>
  <si>
    <t>Alquiler diario de panel direccional peatonal provisional con un espesor de 1,5 mm y unas medidas de 195x95 cm. Según R.D. 485/97.</t>
  </si>
  <si>
    <t>Total m21S02HA030</t>
  </si>
  <si>
    <t>m21S02HA040</t>
  </si>
  <si>
    <t>VALLA METÁLICA</t>
  </si>
  <si>
    <t>Valla metálica para acotamiento de espacios y contención de peatones formada por elementos autónomos normalizados de 2,50x1,10 m, incluso montaje y desmontaje de los mismos según la normativa vigente, modelo SV 18-5 de las Normas Municipales, valorada en función del número óptimo de utilizaciones. Según R.D. 485/97 y R.D. 1627/97.</t>
  </si>
  <si>
    <t>Total m21S02HA040</t>
  </si>
  <si>
    <t>m21S02HA050</t>
  </si>
  <si>
    <t>SOPORTE DE CAUCHO PARA VALLAS Y SEÑALES DE OBRA</t>
  </si>
  <si>
    <t>Alquiler diario de soporte de caucho para vallas de 79x40x11 cm. Según R.D. 485/97 y R.D. 1627/97.</t>
  </si>
  <si>
    <t>Total m21S02HA050</t>
  </si>
  <si>
    <t>Total m21S02HA</t>
  </si>
  <si>
    <t>Total m21S02H</t>
  </si>
  <si>
    <t>Total m21S02</t>
  </si>
  <si>
    <t>m21S03</t>
  </si>
  <si>
    <t>HIGIENE Y BIENESTAR</t>
  </si>
  <si>
    <t>m21S03D</t>
  </si>
  <si>
    <t>EQUIPAMIENTO DE CASETAS</t>
  </si>
  <si>
    <t>m21S03D010</t>
  </si>
  <si>
    <t>AMUEBLAMIENTO PROVISIONAL ASEOS</t>
  </si>
  <si>
    <t>Amueblamiento provisional en local para aseos comprendiendo perchas, jaboneras, secamanos automático, espejos, portarrollos y cubo de basura totalmente terminado, incluso desmontaje y según la normativa vigente, valorado en función del número óptimo de utilizaciones y medida la superficie útil de local amueblado.</t>
  </si>
  <si>
    <t>Total m21S03D010</t>
  </si>
  <si>
    <t>m21S03D020</t>
  </si>
  <si>
    <t>AMUEBLAMIENTO PROVISIONAL VESTUARIO</t>
  </si>
  <si>
    <t>Amueblamiento provisional en local para vestuario comprendiendo taquillas individuales con llave, asientos prefabricados y espejos totalmente terminado, incluso desmontaje y según la normativa vigente, valorado en función del número óptimo de utilizaciones y medida la superficie útil de local amueblado.</t>
  </si>
  <si>
    <t>Total m21S03D020</t>
  </si>
  <si>
    <t>m21S03D030</t>
  </si>
  <si>
    <t>AMUEBLAMIENTO PROVISIONAL COMEDOR</t>
  </si>
  <si>
    <t>Amueblamiento provisional en local para comedor comprendiendo mesas, asientos, microondas y depósito para desperdicios totalmente terminado, incluso desmontaje y según la normativa vigente, valorado en función del número óptimo de utilizaciones y medida la superficie útil de local amueblado.</t>
  </si>
  <si>
    <t>Total m21S03D030</t>
  </si>
  <si>
    <t>m21S03D110</t>
  </si>
  <si>
    <t>HORNO MICROONDAS</t>
  </si>
  <si>
    <t>Horno microondas de 18 l de capacidad, con plato giratorio incorporado (amortizable en 5 usos).</t>
  </si>
  <si>
    <t>Total m21S03D110</t>
  </si>
  <si>
    <t>m21S03D120</t>
  </si>
  <si>
    <t>TAQUILLA METÁLICA INDIVIDUAL</t>
  </si>
  <si>
    <t>Taquilla metálica individual para vestuario de 1,80 m de altura en acero laminado en frío, con tratamiento antifosfatante y anticorrosivo, con pintura secada al horno, cerradura, balda y tubo percha, lamas de ventilación en puerta, colocada (amortizable en 3 usos).</t>
  </si>
  <si>
    <t>Total m21S03D120</t>
  </si>
  <si>
    <t>m21S03D130</t>
  </si>
  <si>
    <t>MESA MELAMINA PARA 10 PERSONAS</t>
  </si>
  <si>
    <t>Mesa de melamina para comedor de obra con capacidad para 10 personas (amortizable en 3 usos).</t>
  </si>
  <si>
    <t>Total m21S03D130</t>
  </si>
  <si>
    <t>Total m21S03D</t>
  </si>
  <si>
    <t>m21S03RH</t>
  </si>
  <si>
    <t>CASETAS DOTACIONES HIGIÉNICAS</t>
  </si>
  <si>
    <t>m21S03RH030</t>
  </si>
  <si>
    <t>mes</t>
  </si>
  <si>
    <t>ALQUILER CASETA ASEO 7,91 m2</t>
  </si>
  <si>
    <t>Mes de alquiler de caseta prefabricada para aseos en obra de 3,55x2,23x2,63 m. Estructura y cerramiento de chapa galvanizada pintada, sin aislamiento. Ventana de 0,84x0,80 m de aluminio anodizado, corredera, con reja y luna de 6 mm, termo eléctrico de 50 l; placa turca, dos placas de ducha y lavabo de tres grifos, todo de fibra de vidrio con terminación de gel-coat blanco y pintura antideslizante, suelo contrachapado hidrófugo con capa fenolítica antideslizante y resistente al desgaste, puerta madera en turca, cortina en duchas. Tubería de polibutileno aislante y resistente a incrustaciones, hielo y corrosiones, instalación eléctrica monofásica 220 V con automático. Con transporte a 150 km (ida y vuelta). Entrega y recogida del módulo con camión grúa. Según R.D. 486/97 y R.D. 1627/97.</t>
  </si>
  <si>
    <t>Total m21S03RH030</t>
  </si>
  <si>
    <t>Total m21S03RH</t>
  </si>
  <si>
    <t>Total m21S03</t>
  </si>
  <si>
    <t>Total 03.SYS</t>
  </si>
  <si>
    <t>04. CAL</t>
  </si>
  <si>
    <t>PLAN DE CONTROL DE CALIDAD</t>
  </si>
  <si>
    <t>m21C02A060</t>
  </si>
  <si>
    <t>CONFORMIDAD ZAHORRAS ARTIFICIALES</t>
  </si>
  <si>
    <t>Ensayos para control de la conformidad, s/FOM 891:2004, de zahorras artificiales mediante la realización de ensayos de laboratorio para determinar la humedad natural, s/UNE-EN 1097-5:2009, la granulometría, s/UNE-EN 933-1:1996/A1:2006, la no plasticidad, s/UNE 103103:1994/103104:1993, el equivalente de arena, s/UNE-EN 933-8:2012, la resistencia a la fragmentación de Los Ángeles, s/UNE-EN 1097-2:2010, el índice de lajas, s/UNE-EN 933-3:2012/A1:2004 y el porcentaje de cajas de fractura, s/UNE-EN 933-5:1999/A1:2005.</t>
  </si>
  <si>
    <t>m21C02A070</t>
  </si>
  <si>
    <t>PLACA DE CARGA</t>
  </si>
  <si>
    <t>Ensayo de placa de carga para comprobación del grado de compactación de suelos o zahorras en tongadas extendidas, s/NLT 357.</t>
  </si>
  <si>
    <t>m21C02A080</t>
  </si>
  <si>
    <t>COMPACTACIÓN MÉTODO NUCLEAR</t>
  </si>
  <si>
    <t>Determinación in situ por el método nuclear para comprobar el grado de compactación de suelos o zahorras compactados, s/UNE 103503:1995.</t>
  </si>
  <si>
    <t>m21C02A090</t>
  </si>
  <si>
    <t>COMPACTACIÓN PROCTOR MODIFICADO</t>
  </si>
  <si>
    <t>Ensayos para establecer los valores de referencia para el control de compactación, mediante la realización en laboratorio del ensayo Proctor Modificado, s/UNE 103501:1994.</t>
  </si>
  <si>
    <t>m21C02A130</t>
  </si>
  <si>
    <t>ESTANQUEIDAD CON AGUA RED SANEAMIENTO</t>
  </si>
  <si>
    <t>Prueba para comprobar la estanqueidad de un tramo, entre pozos contiguos, de la red de saneamiento, mediante obturado del pozo aguas abajo y llenado con agua por el pozo contiguo aguas arriba hasta superar la generatriz superior del tubo, s/UNE-EN 1610:1998.</t>
  </si>
  <si>
    <t>m21C02A140</t>
  </si>
  <si>
    <t>PRUEBA SERVICIO RED SANEAMIENTO</t>
  </si>
  <si>
    <t>Realización de prueba para comprobar el funcionamiento de la red de saneamiento mediante descarga de agua en el último pozo aguas arriba y comprobación visual en los pozos sucesivos aguas abajo, s/UNE-EN 1610:1998.</t>
  </si>
  <si>
    <t>m21C02A170</t>
  </si>
  <si>
    <t>PRUEBA SERVICIO CUADRO ELÉCTRICO</t>
  </si>
  <si>
    <t>Prueba de funcionamiento de automatismos de cuadros generales de mando y protección e instalaciones eléctricas.</t>
  </si>
  <si>
    <t>m21C02A240</t>
  </si>
  <si>
    <t>PRUEBA ESTANQUEIDAD RED SANEAMIENTO</t>
  </si>
  <si>
    <t>Prueba de funcionamiento y estanqueidad en tramos de la red de saneamiento, s/ UNE-EN 1610:1998.</t>
  </si>
  <si>
    <t>Total 04. CAL</t>
  </si>
  <si>
    <t>Total VENTAS</t>
  </si>
  <si>
    <t>TOTAL PRESUP. EJECUCIÓN MATERIAL</t>
  </si>
  <si>
    <t>GASTOS GENERALES Y BENEFICIO INDUSTRIAL</t>
  </si>
  <si>
    <t>IMPORTE IVA</t>
  </si>
  <si>
    <t>TOTAL OFERTA SIN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</si>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</sst>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sz val="9"/>
      <color indexed="81"/>
      <name val="Tahoma"/>
      <family val="2"/>
    </font>
  </fonts>
  <fills count="11">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rgb="FFF0F0F0"/>
        <bgColor indexed="64"/>
      </patternFill>
    </fill>
    <fill>
      <patternFill patternType="solid">
        <fgColor rgb="FFC0C0C0"/>
        <bgColor indexed="64"/>
      </patternFill>
    </fill>
    <fill>
      <patternFill patternType="solid">
        <fgColor rgb="FFFAFAFA"/>
        <bgColor indexed="64"/>
      </patternFill>
    </fill>
    <fill>
      <patternFill patternType="solid">
        <fgColor theme="4" tint="0.79998168889431442"/>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4">
    <xf numFmtId="0" fontId="0" fillId="0" borderId="0" xfId="0"/>
    <xf numFmtId="4" fontId="6" fillId="2" borderId="0" xfId="0" applyNumberFormat="1" applyFont="1" applyFill="1" applyBorder="1" applyAlignment="1" applyProtection="1">
      <alignment vertical="top"/>
      <protection locked="0"/>
    </xf>
    <xf numFmtId="4" fontId="6" fillId="3" borderId="0" xfId="0" applyNumberFormat="1" applyFont="1" applyFill="1" applyBorder="1" applyAlignment="1" applyProtection="1">
      <alignment vertical="top"/>
      <protection locked="0"/>
    </xf>
    <xf numFmtId="4" fontId="5" fillId="4" borderId="0" xfId="0" applyNumberFormat="1" applyFont="1" applyFill="1" applyBorder="1" applyAlignment="1" applyProtection="1">
      <alignment vertical="top"/>
      <protection locked="0"/>
    </xf>
    <xf numFmtId="4" fontId="6" fillId="4" borderId="0" xfId="0" applyNumberFormat="1" applyFont="1" applyFill="1" applyBorder="1" applyAlignment="1" applyProtection="1">
      <alignment vertical="top"/>
      <protection locked="0"/>
    </xf>
    <xf numFmtId="4" fontId="6" fillId="5" borderId="0" xfId="0" applyNumberFormat="1" applyFont="1" applyFill="1" applyBorder="1" applyAlignment="1" applyProtection="1">
      <alignment vertical="top"/>
      <protection locked="0"/>
    </xf>
    <xf numFmtId="4" fontId="6" fillId="6" borderId="0" xfId="0" applyNumberFormat="1" applyFont="1" applyFill="1" applyBorder="1" applyAlignment="1" applyProtection="1">
      <alignment vertical="top"/>
      <protection locked="0"/>
    </xf>
    <xf numFmtId="0" fontId="7" fillId="0" borderId="0" xfId="0" applyFont="1" applyBorder="1" applyAlignment="1" applyProtection="1">
      <alignment vertical="top"/>
      <protection locked="0"/>
    </xf>
    <xf numFmtId="4" fontId="8" fillId="0" borderId="0" xfId="0" applyNumberFormat="1" applyFont="1" applyBorder="1" applyAlignment="1" applyProtection="1">
      <alignment vertical="top"/>
      <protection locked="0"/>
    </xf>
    <xf numFmtId="4" fontId="7" fillId="0" borderId="0" xfId="0" applyNumberFormat="1" applyFont="1" applyBorder="1" applyAlignment="1" applyProtection="1">
      <alignment vertical="top"/>
      <protection locked="0"/>
    </xf>
    <xf numFmtId="4" fontId="6" fillId="0" borderId="0" xfId="0" applyNumberFormat="1" applyFont="1" applyBorder="1" applyAlignment="1" applyProtection="1">
      <alignment vertical="top"/>
      <protection locked="0"/>
    </xf>
    <xf numFmtId="0" fontId="7" fillId="8" borderId="0" xfId="0" applyFont="1" applyFill="1" applyBorder="1" applyAlignment="1" applyProtection="1">
      <alignment vertical="top"/>
      <protection locked="0"/>
    </xf>
    <xf numFmtId="4" fontId="6" fillId="9" borderId="0" xfId="0" applyNumberFormat="1" applyFont="1" applyFill="1" applyBorder="1" applyAlignment="1" applyProtection="1">
      <alignment vertical="top"/>
      <protection locked="0"/>
    </xf>
    <xf numFmtId="4" fontId="6" fillId="0" borderId="7" xfId="0" applyNumberFormat="1" applyFont="1" applyBorder="1" applyAlignment="1" applyProtection="1">
      <alignment vertical="top"/>
      <protection locked="0"/>
    </xf>
    <xf numFmtId="0" fontId="1" fillId="0" borderId="0" xfId="0" applyFont="1" applyAlignment="1" applyProtection="1">
      <alignment vertical="top"/>
    </xf>
    <xf numFmtId="0" fontId="0" fillId="0" borderId="0" xfId="0" applyAlignment="1" applyProtection="1">
      <alignment vertical="top"/>
    </xf>
    <xf numFmtId="0" fontId="2" fillId="0" borderId="0" xfId="0" applyFont="1" applyAlignment="1" applyProtection="1">
      <alignment vertical="top"/>
    </xf>
    <xf numFmtId="0" fontId="4" fillId="0" borderId="0" xfId="0" applyFont="1" applyAlignment="1" applyProtection="1">
      <alignment vertical="top"/>
    </xf>
    <xf numFmtId="0" fontId="4" fillId="0" borderId="0" xfId="0" applyFont="1" applyAlignment="1" applyProtection="1">
      <alignment vertical="top" wrapText="1"/>
    </xf>
    <xf numFmtId="0" fontId="4" fillId="0" borderId="1" xfId="0" applyFont="1" applyBorder="1" applyAlignment="1" applyProtection="1">
      <alignment vertical="top"/>
    </xf>
    <xf numFmtId="0" fontId="4" fillId="0" borderId="2" xfId="0" applyFont="1" applyBorder="1" applyAlignment="1" applyProtection="1">
      <alignment vertical="top"/>
    </xf>
    <xf numFmtId="0" fontId="4" fillId="0" borderId="3" xfId="0" applyFont="1" applyBorder="1" applyAlignment="1" applyProtection="1">
      <alignment vertical="top"/>
    </xf>
    <xf numFmtId="49" fontId="5" fillId="2" borderId="0" xfId="0" applyNumberFormat="1" applyFont="1" applyFill="1" applyAlignment="1" applyProtection="1">
      <alignment vertical="top"/>
    </xf>
    <xf numFmtId="49" fontId="5" fillId="2" borderId="0" xfId="0" applyNumberFormat="1" applyFont="1" applyFill="1" applyAlignment="1" applyProtection="1">
      <alignment vertical="top" wrapText="1"/>
    </xf>
    <xf numFmtId="0" fontId="5" fillId="2" borderId="4" xfId="0" applyFont="1" applyFill="1" applyBorder="1" applyAlignment="1" applyProtection="1">
      <alignment vertical="top"/>
    </xf>
    <xf numFmtId="0" fontId="5" fillId="2" borderId="0" xfId="0" applyFont="1" applyFill="1" applyBorder="1" applyAlignment="1" applyProtection="1">
      <alignment vertical="top"/>
    </xf>
    <xf numFmtId="3" fontId="6" fillId="2" borderId="0" xfId="0" applyNumberFormat="1" applyFont="1" applyFill="1" applyBorder="1" applyAlignment="1" applyProtection="1">
      <alignment vertical="top"/>
    </xf>
    <xf numFmtId="4" fontId="6" fillId="2" borderId="0" xfId="0" applyNumberFormat="1" applyFont="1" applyFill="1" applyBorder="1" applyAlignment="1" applyProtection="1">
      <alignment vertical="top"/>
    </xf>
    <xf numFmtId="4" fontId="6" fillId="2" borderId="5" xfId="0" applyNumberFormat="1" applyFont="1" applyFill="1" applyBorder="1" applyAlignment="1" applyProtection="1">
      <alignment vertical="top"/>
    </xf>
    <xf numFmtId="49" fontId="5" fillId="3" borderId="0" xfId="0" applyNumberFormat="1" applyFont="1" applyFill="1" applyAlignment="1" applyProtection="1">
      <alignment vertical="top"/>
    </xf>
    <xf numFmtId="49" fontId="5" fillId="3" borderId="0" xfId="0" applyNumberFormat="1" applyFont="1" applyFill="1" applyAlignment="1" applyProtection="1">
      <alignment vertical="top" wrapText="1"/>
    </xf>
    <xf numFmtId="0" fontId="5" fillId="3" borderId="4" xfId="0" applyFont="1" applyFill="1" applyBorder="1" applyAlignment="1" applyProtection="1">
      <alignment vertical="top"/>
    </xf>
    <xf numFmtId="0" fontId="5" fillId="3" borderId="0" xfId="0" applyFont="1" applyFill="1" applyBorder="1" applyAlignment="1" applyProtection="1">
      <alignment vertical="top"/>
    </xf>
    <xf numFmtId="4" fontId="6" fillId="3" borderId="0" xfId="0" applyNumberFormat="1" applyFont="1" applyFill="1" applyBorder="1" applyAlignment="1" applyProtection="1">
      <alignment vertical="top"/>
    </xf>
    <xf numFmtId="4" fontId="6" fillId="3" borderId="5" xfId="0" applyNumberFormat="1" applyFont="1" applyFill="1" applyBorder="1" applyAlignment="1" applyProtection="1">
      <alignment vertical="top"/>
    </xf>
    <xf numFmtId="49" fontId="5" fillId="4" borderId="0" xfId="0" applyNumberFormat="1" applyFont="1" applyFill="1" applyAlignment="1" applyProtection="1">
      <alignment vertical="top"/>
    </xf>
    <xf numFmtId="49" fontId="5" fillId="4" borderId="0" xfId="0" applyNumberFormat="1" applyFont="1" applyFill="1" applyAlignment="1" applyProtection="1">
      <alignment vertical="top" wrapText="1"/>
    </xf>
    <xf numFmtId="0" fontId="5" fillId="4" borderId="4" xfId="0" applyFont="1" applyFill="1" applyBorder="1" applyAlignment="1" applyProtection="1">
      <alignment vertical="top"/>
    </xf>
    <xf numFmtId="0" fontId="5" fillId="4" borderId="0" xfId="0" applyFont="1" applyFill="1" applyBorder="1" applyAlignment="1" applyProtection="1">
      <alignment vertical="top"/>
    </xf>
    <xf numFmtId="4" fontId="5" fillId="4" borderId="0" xfId="0" applyNumberFormat="1" applyFont="1" applyFill="1" applyBorder="1" applyAlignment="1" applyProtection="1">
      <alignment vertical="top"/>
    </xf>
    <xf numFmtId="4" fontId="6" fillId="4" borderId="5" xfId="0" applyNumberFormat="1" applyFont="1" applyFill="1" applyBorder="1" applyAlignment="1" applyProtection="1">
      <alignment vertical="top"/>
    </xf>
    <xf numFmtId="4" fontId="6" fillId="4" borderId="0" xfId="0" applyNumberFormat="1" applyFont="1" applyFill="1" applyBorder="1" applyAlignment="1" applyProtection="1">
      <alignment vertical="top"/>
    </xf>
    <xf numFmtId="49" fontId="5" fillId="5" borderId="0" xfId="0" applyNumberFormat="1" applyFont="1" applyFill="1" applyAlignment="1" applyProtection="1">
      <alignment vertical="top"/>
    </xf>
    <xf numFmtId="49" fontId="5" fillId="5" borderId="0" xfId="0" applyNumberFormat="1" applyFont="1" applyFill="1" applyAlignment="1" applyProtection="1">
      <alignment vertical="top" wrapText="1"/>
    </xf>
    <xf numFmtId="0" fontId="5" fillId="5" borderId="4" xfId="0" applyFont="1" applyFill="1" applyBorder="1" applyAlignment="1" applyProtection="1">
      <alignment vertical="top"/>
    </xf>
    <xf numFmtId="0" fontId="5" fillId="5" borderId="0" xfId="0" applyFont="1" applyFill="1" applyBorder="1" applyAlignment="1" applyProtection="1">
      <alignment vertical="top"/>
    </xf>
    <xf numFmtId="4" fontId="6" fillId="5" borderId="0" xfId="0" applyNumberFormat="1" applyFont="1" applyFill="1" applyBorder="1" applyAlignment="1" applyProtection="1">
      <alignment vertical="top"/>
    </xf>
    <xf numFmtId="4" fontId="6" fillId="5" borderId="5" xfId="0" applyNumberFormat="1" applyFont="1" applyFill="1" applyBorder="1" applyAlignment="1" applyProtection="1">
      <alignment vertical="top"/>
    </xf>
    <xf numFmtId="49" fontId="5" fillId="6" borderId="0" xfId="0" applyNumberFormat="1" applyFont="1" applyFill="1" applyAlignment="1" applyProtection="1">
      <alignment vertical="top"/>
    </xf>
    <xf numFmtId="49" fontId="5" fillId="6" borderId="0" xfId="0" applyNumberFormat="1" applyFont="1" applyFill="1" applyAlignment="1" applyProtection="1">
      <alignment vertical="top" wrapText="1"/>
    </xf>
    <xf numFmtId="0" fontId="5" fillId="6" borderId="4" xfId="0" applyFont="1" applyFill="1" applyBorder="1" applyAlignment="1" applyProtection="1">
      <alignment vertical="top"/>
    </xf>
    <xf numFmtId="0" fontId="5" fillId="6" borderId="0" xfId="0" applyFont="1" applyFill="1" applyBorder="1" applyAlignment="1" applyProtection="1">
      <alignment vertical="top"/>
    </xf>
    <xf numFmtId="4" fontId="6" fillId="6" borderId="0" xfId="0" applyNumberFormat="1" applyFont="1" applyFill="1" applyBorder="1" applyAlignment="1" applyProtection="1">
      <alignment vertical="top"/>
    </xf>
    <xf numFmtId="4" fontId="6" fillId="6" borderId="5" xfId="0" applyNumberFormat="1" applyFont="1" applyFill="1" applyBorder="1" applyAlignment="1" applyProtection="1">
      <alignment vertical="top"/>
    </xf>
    <xf numFmtId="49" fontId="7" fillId="7" borderId="0" xfId="0" applyNumberFormat="1" applyFont="1" applyFill="1" applyAlignment="1" applyProtection="1">
      <alignment vertical="top"/>
    </xf>
    <xf numFmtId="49" fontId="7" fillId="0" borderId="0" xfId="0" applyNumberFormat="1" applyFont="1" applyAlignment="1" applyProtection="1">
      <alignment vertical="top"/>
    </xf>
    <xf numFmtId="49" fontId="7" fillId="0" borderId="0" xfId="0" applyNumberFormat="1" applyFont="1" applyAlignment="1" applyProtection="1">
      <alignment vertical="top" wrapText="1"/>
    </xf>
    <xf numFmtId="0" fontId="7" fillId="0" borderId="4" xfId="0" applyFont="1" applyBorder="1" applyAlignment="1" applyProtection="1">
      <alignment vertical="top"/>
    </xf>
    <xf numFmtId="0" fontId="7" fillId="0" borderId="0" xfId="0" applyFont="1" applyBorder="1" applyAlignment="1" applyProtection="1">
      <alignment vertical="top"/>
    </xf>
    <xf numFmtId="4" fontId="8" fillId="0" borderId="0" xfId="0" applyNumberFormat="1" applyFont="1" applyBorder="1" applyAlignment="1" applyProtection="1">
      <alignment vertical="top"/>
    </xf>
    <xf numFmtId="4" fontId="8" fillId="0" borderId="5" xfId="0" applyNumberFormat="1" applyFont="1" applyBorder="1" applyAlignment="1" applyProtection="1">
      <alignment vertical="top"/>
    </xf>
    <xf numFmtId="0" fontId="7" fillId="0" borderId="0" xfId="0" applyFont="1" applyAlignment="1" applyProtection="1">
      <alignment vertical="top"/>
    </xf>
    <xf numFmtId="0" fontId="7" fillId="0" borderId="5" xfId="0" applyFont="1" applyBorder="1" applyAlignment="1" applyProtection="1">
      <alignment vertical="top"/>
    </xf>
    <xf numFmtId="0" fontId="7" fillId="0" borderId="0" xfId="0" applyFont="1" applyAlignment="1" applyProtection="1">
      <alignment vertical="top" wrapText="1"/>
    </xf>
    <xf numFmtId="49" fontId="7" fillId="0" borderId="4" xfId="0" applyNumberFormat="1" applyFont="1" applyBorder="1" applyAlignment="1" applyProtection="1">
      <alignment vertical="top"/>
    </xf>
    <xf numFmtId="164" fontId="7" fillId="0" borderId="0" xfId="0" applyNumberFormat="1" applyFont="1" applyBorder="1" applyAlignment="1" applyProtection="1">
      <alignment vertical="top"/>
    </xf>
    <xf numFmtId="4" fontId="7" fillId="0" borderId="0" xfId="0" applyNumberFormat="1" applyFont="1" applyBorder="1" applyAlignment="1" applyProtection="1">
      <alignment vertical="top"/>
    </xf>
    <xf numFmtId="49" fontId="5" fillId="0" borderId="0" xfId="0" applyNumberFormat="1" applyFont="1" applyBorder="1" applyAlignment="1" applyProtection="1">
      <alignment vertical="top"/>
    </xf>
    <xf numFmtId="4" fontId="6" fillId="0" borderId="0" xfId="0" applyNumberFormat="1" applyFont="1" applyBorder="1" applyAlignment="1" applyProtection="1">
      <alignment vertical="top"/>
    </xf>
    <xf numFmtId="4" fontId="6" fillId="0" borderId="5" xfId="0" applyNumberFormat="1" applyFont="1" applyBorder="1" applyAlignment="1" applyProtection="1">
      <alignment vertical="top"/>
    </xf>
    <xf numFmtId="0" fontId="7" fillId="8" borderId="0" xfId="0" applyFont="1" applyFill="1" applyAlignment="1" applyProtection="1">
      <alignment vertical="top"/>
    </xf>
    <xf numFmtId="0" fontId="7" fillId="8" borderId="0" xfId="0" applyFont="1" applyFill="1" applyAlignment="1" applyProtection="1">
      <alignment vertical="top" wrapText="1"/>
    </xf>
    <xf numFmtId="0" fontId="7" fillId="8" borderId="4" xfId="0" applyFont="1" applyFill="1" applyBorder="1" applyAlignment="1" applyProtection="1">
      <alignment vertical="top"/>
    </xf>
    <xf numFmtId="0" fontId="7" fillId="8" borderId="0" xfId="0" applyFont="1" applyFill="1" applyBorder="1" applyAlignment="1" applyProtection="1">
      <alignment vertical="top"/>
    </xf>
    <xf numFmtId="0" fontId="7" fillId="8" borderId="5" xfId="0" applyFont="1" applyFill="1" applyBorder="1" applyAlignment="1" applyProtection="1">
      <alignment vertical="top"/>
    </xf>
    <xf numFmtId="49" fontId="5" fillId="9" borderId="0" xfId="0" applyNumberFormat="1" applyFont="1" applyFill="1" applyAlignment="1" applyProtection="1">
      <alignment vertical="top"/>
    </xf>
    <xf numFmtId="49" fontId="5" fillId="9" borderId="0" xfId="0" applyNumberFormat="1" applyFont="1" applyFill="1" applyAlignment="1" applyProtection="1">
      <alignment vertical="top" wrapText="1"/>
    </xf>
    <xf numFmtId="0" fontId="5" fillId="9" borderId="4" xfId="0" applyFont="1" applyFill="1" applyBorder="1" applyAlignment="1" applyProtection="1">
      <alignment vertical="top"/>
    </xf>
    <xf numFmtId="0" fontId="5" fillId="9" borderId="0" xfId="0" applyFont="1" applyFill="1" applyBorder="1" applyAlignment="1" applyProtection="1">
      <alignment vertical="top"/>
    </xf>
    <xf numFmtId="4" fontId="6" fillId="9" borderId="0" xfId="0" applyNumberFormat="1" applyFont="1" applyFill="1" applyBorder="1" applyAlignment="1" applyProtection="1">
      <alignment vertical="top"/>
    </xf>
    <xf numFmtId="4" fontId="6" fillId="9" borderId="5" xfId="0" applyNumberFormat="1" applyFont="1" applyFill="1" applyBorder="1" applyAlignment="1" applyProtection="1">
      <alignment vertical="top"/>
    </xf>
    <xf numFmtId="3" fontId="7" fillId="0" borderId="0" xfId="0" applyNumberFormat="1" applyFont="1" applyBorder="1" applyAlignment="1" applyProtection="1">
      <alignment vertical="top"/>
    </xf>
    <xf numFmtId="0" fontId="7" fillId="0" borderId="6" xfId="0" applyFont="1" applyBorder="1" applyAlignment="1" applyProtection="1">
      <alignment vertical="top"/>
    </xf>
    <xf numFmtId="0" fontId="7" fillId="0" borderId="7" xfId="0" applyFont="1" applyBorder="1" applyAlignment="1" applyProtection="1">
      <alignment vertical="top"/>
    </xf>
    <xf numFmtId="49" fontId="5" fillId="0" borderId="7" xfId="0" applyNumberFormat="1" applyFont="1" applyBorder="1" applyAlignment="1" applyProtection="1">
      <alignment vertical="top"/>
    </xf>
    <xf numFmtId="3" fontId="7" fillId="0" borderId="7" xfId="0" applyNumberFormat="1" applyFont="1" applyBorder="1" applyAlignment="1" applyProtection="1">
      <alignment vertical="top"/>
    </xf>
    <xf numFmtId="4" fontId="6" fillId="0" borderId="7" xfId="0" applyNumberFormat="1" applyFont="1" applyBorder="1" applyAlignment="1" applyProtection="1">
      <alignment vertical="top"/>
    </xf>
    <xf numFmtId="4" fontId="6" fillId="0" borderId="8" xfId="0" applyNumberFormat="1" applyFont="1" applyBorder="1" applyAlignment="1" applyProtection="1">
      <alignment vertical="top"/>
    </xf>
    <xf numFmtId="0" fontId="0" fillId="0" borderId="0" xfId="0" applyProtection="1"/>
    <xf numFmtId="0" fontId="0" fillId="10" borderId="9" xfId="0" applyFill="1" applyBorder="1" applyProtection="1"/>
    <xf numFmtId="0" fontId="0" fillId="10" borderId="10" xfId="0" applyFill="1" applyBorder="1" applyProtection="1"/>
    <xf numFmtId="0" fontId="0" fillId="10" borderId="0" xfId="0" applyFill="1" applyBorder="1" applyProtection="1"/>
    <xf numFmtId="49" fontId="5" fillId="10" borderId="10" xfId="0" applyNumberFormat="1" applyFont="1" applyFill="1" applyBorder="1" applyAlignment="1" applyProtection="1">
      <alignment vertical="top" wrapText="1"/>
    </xf>
    <xf numFmtId="4" fontId="9" fillId="10" borderId="11" xfId="0" applyNumberFormat="1" applyFont="1" applyFill="1" applyBorder="1" applyAlignment="1" applyProtection="1">
      <alignment vertical="top"/>
    </xf>
    <xf numFmtId="0" fontId="0" fillId="10" borderId="12" xfId="0" applyFill="1" applyBorder="1" applyProtection="1"/>
    <xf numFmtId="0" fontId="0" fillId="10" borderId="0" xfId="0" applyFill="1" applyProtection="1"/>
    <xf numFmtId="49" fontId="5" fillId="10" borderId="0" xfId="0" applyNumberFormat="1" applyFont="1" applyFill="1" applyAlignment="1" applyProtection="1">
      <alignment vertical="top" wrapText="1"/>
    </xf>
    <xf numFmtId="9" fontId="7" fillId="10" borderId="12" xfId="0" applyNumberFormat="1" applyFont="1" applyFill="1" applyBorder="1" applyAlignment="1" applyProtection="1">
      <alignment vertical="top"/>
    </xf>
    <xf numFmtId="4" fontId="9" fillId="10" borderId="13" xfId="0" applyNumberFormat="1" applyFont="1" applyFill="1" applyBorder="1" applyAlignment="1" applyProtection="1">
      <alignment vertical="top"/>
    </xf>
    <xf numFmtId="0" fontId="0" fillId="10" borderId="14" xfId="0" applyFill="1" applyBorder="1" applyProtection="1"/>
    <xf numFmtId="0" fontId="0" fillId="10" borderId="15" xfId="0" applyFill="1" applyBorder="1" applyProtection="1"/>
    <xf numFmtId="49" fontId="5" fillId="10" borderId="16" xfId="0" applyNumberFormat="1" applyFont="1" applyFill="1" applyBorder="1" applyAlignment="1" applyProtection="1">
      <alignment vertical="top"/>
    </xf>
    <xf numFmtId="4" fontId="9" fillId="10" borderId="16" xfId="0" applyNumberFormat="1" applyFont="1" applyFill="1" applyBorder="1" applyAlignment="1" applyProtection="1">
      <alignment vertical="top"/>
    </xf>
    <xf numFmtId="9" fontId="7" fillId="10" borderId="12" xfId="0" applyNumberFormat="1" applyFont="1" applyFill="1" applyBorder="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78"/>
  <sheetViews>
    <sheetView tabSelected="1" workbookViewId="0">
      <pane xSplit="4" ySplit="3" topLeftCell="I4" activePane="bottomRight" state="frozen"/>
      <selection pane="topRight" activeCell="E1" sqref="E1"/>
      <selection pane="bottomLeft" activeCell="A4" sqref="A4"/>
      <selection pane="bottomRight" activeCell="U432" sqref="U432"/>
    </sheetView>
  </sheetViews>
  <sheetFormatPr baseColWidth="10" defaultRowHeight="14.4" x14ac:dyDescent="0.3"/>
  <cols>
    <col min="1" max="1" width="10.33203125" style="88" customWidth="1"/>
    <col min="2" max="2" width="5.6640625" style="88" customWidth="1"/>
    <col min="3" max="3" width="3.88671875" style="88" customWidth="1"/>
    <col min="4" max="4" width="33.109375" style="88" customWidth="1"/>
    <col min="5" max="5" width="18.44140625" style="88" bestFit="1" customWidth="1"/>
    <col min="6" max="6" width="11.33203125" style="88" customWidth="1"/>
    <col min="7" max="7" width="8.5546875" style="88" customWidth="1"/>
    <col min="8" max="8" width="8.33203125" style="88" customWidth="1"/>
    <col min="9" max="9" width="6.5546875" style="88" customWidth="1"/>
    <col min="10" max="10" width="27.6640625" style="88" customWidth="1"/>
    <col min="11" max="11" width="8" style="88" customWidth="1"/>
    <col min="12" max="13" width="8.6640625" style="88" bestFit="1" customWidth="1"/>
    <col min="14" max="14" width="18.44140625" style="88" hidden="1" customWidth="1"/>
    <col min="15" max="15" width="11.33203125" style="88" hidden="1" customWidth="1"/>
    <col min="16" max="16" width="8.5546875" style="88" hidden="1" customWidth="1"/>
    <col min="17" max="17" width="8.33203125" style="88" hidden="1" customWidth="1"/>
    <col min="18" max="18" width="6.5546875" style="88" hidden="1" customWidth="1"/>
    <col min="19" max="19" width="28" style="88" customWidth="1"/>
    <col min="20" max="20" width="8" style="88" customWidth="1"/>
    <col min="21" max="22" width="8.6640625" style="88" bestFit="1" customWidth="1"/>
    <col min="23" max="16384" width="11.5546875" style="88"/>
  </cols>
  <sheetData>
    <row r="1" spans="1:22" x14ac:dyDescent="0.3">
      <c r="A1" s="14" t="s">
        <v>0</v>
      </c>
      <c r="B1" s="15"/>
      <c r="C1" s="15"/>
      <c r="D1" s="15"/>
      <c r="E1" s="15"/>
      <c r="F1" s="15"/>
      <c r="G1" s="15"/>
      <c r="H1" s="15"/>
      <c r="I1" s="15"/>
      <c r="J1" s="15"/>
      <c r="K1" s="15"/>
      <c r="L1" s="15"/>
      <c r="M1" s="15"/>
      <c r="N1" s="15"/>
      <c r="O1" s="15"/>
      <c r="P1" s="15"/>
      <c r="Q1" s="15"/>
      <c r="R1" s="15"/>
      <c r="S1" s="15"/>
      <c r="T1" s="15"/>
      <c r="U1" s="15"/>
      <c r="V1" s="15"/>
    </row>
    <row r="2" spans="1:22" ht="18.600000000000001" thickBot="1" x14ac:dyDescent="0.35">
      <c r="A2" s="16" t="s">
        <v>1</v>
      </c>
      <c r="B2" s="15"/>
      <c r="C2" s="15"/>
      <c r="D2" s="15"/>
      <c r="E2" s="15"/>
      <c r="F2" s="15"/>
      <c r="G2" s="15"/>
      <c r="H2" s="15"/>
      <c r="I2" s="15"/>
      <c r="J2" s="15"/>
      <c r="K2" s="15"/>
      <c r="L2" s="15"/>
      <c r="M2" s="15"/>
      <c r="N2" s="15"/>
      <c r="O2" s="15"/>
      <c r="P2" s="15"/>
      <c r="Q2" s="15"/>
      <c r="R2" s="15"/>
      <c r="S2" s="15"/>
      <c r="T2" s="15"/>
      <c r="U2" s="15"/>
      <c r="V2" s="15"/>
    </row>
    <row r="3" spans="1:22" x14ac:dyDescent="0.3">
      <c r="A3" s="17" t="s">
        <v>2</v>
      </c>
      <c r="B3" s="17" t="s">
        <v>3</v>
      </c>
      <c r="C3" s="17" t="s">
        <v>4</v>
      </c>
      <c r="D3" s="18" t="s">
        <v>5</v>
      </c>
      <c r="E3" s="19" t="s">
        <v>6</v>
      </c>
      <c r="F3" s="20" t="s">
        <v>7</v>
      </c>
      <c r="G3" s="20" t="s">
        <v>8</v>
      </c>
      <c r="H3" s="20" t="s">
        <v>9</v>
      </c>
      <c r="I3" s="20" t="s">
        <v>10</v>
      </c>
      <c r="J3" s="20" t="s">
        <v>11</v>
      </c>
      <c r="K3" s="20" t="s">
        <v>12</v>
      </c>
      <c r="L3" s="20" t="s">
        <v>13</v>
      </c>
      <c r="M3" s="21" t="s">
        <v>14</v>
      </c>
      <c r="N3" s="19" t="s">
        <v>6</v>
      </c>
      <c r="O3" s="20" t="s">
        <v>7</v>
      </c>
      <c r="P3" s="20" t="s">
        <v>8</v>
      </c>
      <c r="Q3" s="20" t="s">
        <v>9</v>
      </c>
      <c r="R3" s="20" t="s">
        <v>10</v>
      </c>
      <c r="S3" s="20" t="s">
        <v>11</v>
      </c>
      <c r="T3" s="20" t="s">
        <v>12</v>
      </c>
      <c r="U3" s="20" t="s">
        <v>13</v>
      </c>
      <c r="V3" s="21" t="s">
        <v>14</v>
      </c>
    </row>
    <row r="4" spans="1:22" x14ac:dyDescent="0.3">
      <c r="A4" s="22" t="s">
        <v>15</v>
      </c>
      <c r="B4" s="22" t="s">
        <v>16</v>
      </c>
      <c r="C4" s="22" t="s">
        <v>17</v>
      </c>
      <c r="D4" s="23" t="s">
        <v>18</v>
      </c>
      <c r="E4" s="24"/>
      <c r="F4" s="25"/>
      <c r="G4" s="25"/>
      <c r="H4" s="25"/>
      <c r="I4" s="25"/>
      <c r="J4" s="25"/>
      <c r="K4" s="26">
        <f>K202</f>
        <v>1</v>
      </c>
      <c r="L4" s="27">
        <f>L202</f>
        <v>164022.66</v>
      </c>
      <c r="M4" s="28">
        <f>M202</f>
        <v>164022.66</v>
      </c>
      <c r="N4" s="24"/>
      <c r="O4" s="25"/>
      <c r="P4" s="25"/>
      <c r="Q4" s="25"/>
      <c r="R4" s="25"/>
      <c r="S4" s="25"/>
      <c r="T4" s="26">
        <f>T202</f>
        <v>1</v>
      </c>
      <c r="U4" s="1">
        <f>U202</f>
        <v>0</v>
      </c>
      <c r="V4" s="28">
        <f>V202</f>
        <v>0</v>
      </c>
    </row>
    <row r="5" spans="1:22" ht="20.399999999999999" x14ac:dyDescent="0.3">
      <c r="A5" s="29" t="s">
        <v>19</v>
      </c>
      <c r="B5" s="29" t="s">
        <v>16</v>
      </c>
      <c r="C5" s="29" t="s">
        <v>17</v>
      </c>
      <c r="D5" s="30" t="s">
        <v>20</v>
      </c>
      <c r="E5" s="31"/>
      <c r="F5" s="32"/>
      <c r="G5" s="32"/>
      <c r="H5" s="32"/>
      <c r="I5" s="32"/>
      <c r="J5" s="32"/>
      <c r="K5" s="33">
        <f>K200</f>
        <v>1</v>
      </c>
      <c r="L5" s="33">
        <f>L200</f>
        <v>164022.66</v>
      </c>
      <c r="M5" s="34">
        <f>M200</f>
        <v>164022.66</v>
      </c>
      <c r="N5" s="31"/>
      <c r="O5" s="32"/>
      <c r="P5" s="32"/>
      <c r="Q5" s="32"/>
      <c r="R5" s="32"/>
      <c r="S5" s="32"/>
      <c r="T5" s="33">
        <f>T200</f>
        <v>1</v>
      </c>
      <c r="U5" s="2">
        <f>U200</f>
        <v>0</v>
      </c>
      <c r="V5" s="34">
        <f>V200</f>
        <v>0</v>
      </c>
    </row>
    <row r="6" spans="1:22" x14ac:dyDescent="0.3">
      <c r="A6" s="35" t="s">
        <v>21</v>
      </c>
      <c r="B6" s="35" t="s">
        <v>16</v>
      </c>
      <c r="C6" s="35" t="s">
        <v>17</v>
      </c>
      <c r="D6" s="36" t="s">
        <v>22</v>
      </c>
      <c r="E6" s="37"/>
      <c r="F6" s="38"/>
      <c r="G6" s="38"/>
      <c r="H6" s="38"/>
      <c r="I6" s="38"/>
      <c r="J6" s="38"/>
      <c r="K6" s="39">
        <v>1</v>
      </c>
      <c r="L6" s="39">
        <v>866.16</v>
      </c>
      <c r="M6" s="40">
        <f>ROUND(K6*L6,2)</f>
        <v>866.16</v>
      </c>
      <c r="N6" s="37"/>
      <c r="O6" s="38"/>
      <c r="P6" s="38"/>
      <c r="Q6" s="38"/>
      <c r="R6" s="38"/>
      <c r="S6" s="38"/>
      <c r="T6" s="39">
        <v>1</v>
      </c>
      <c r="U6" s="3">
        <v>0</v>
      </c>
      <c r="V6" s="40">
        <f>ROUND(T6*U6,2)</f>
        <v>0</v>
      </c>
    </row>
    <row r="7" spans="1:22" x14ac:dyDescent="0.3">
      <c r="A7" s="35" t="s">
        <v>23</v>
      </c>
      <c r="B7" s="35" t="s">
        <v>16</v>
      </c>
      <c r="C7" s="35" t="s">
        <v>17</v>
      </c>
      <c r="D7" s="36" t="s">
        <v>24</v>
      </c>
      <c r="E7" s="37"/>
      <c r="F7" s="38"/>
      <c r="G7" s="38"/>
      <c r="H7" s="38"/>
      <c r="I7" s="38"/>
      <c r="J7" s="38"/>
      <c r="K7" s="39">
        <v>1</v>
      </c>
      <c r="L7" s="39">
        <v>3604</v>
      </c>
      <c r="M7" s="40">
        <f>ROUND(K7*L7,2)</f>
        <v>3604</v>
      </c>
      <c r="N7" s="37"/>
      <c r="O7" s="38"/>
      <c r="P7" s="38"/>
      <c r="Q7" s="38"/>
      <c r="R7" s="38"/>
      <c r="S7" s="38"/>
      <c r="T7" s="39">
        <v>1</v>
      </c>
      <c r="U7" s="3">
        <v>0</v>
      </c>
      <c r="V7" s="40">
        <f>ROUND(T7*U7,2)</f>
        <v>0</v>
      </c>
    </row>
    <row r="8" spans="1:22" ht="20.399999999999999" x14ac:dyDescent="0.3">
      <c r="A8" s="35" t="s">
        <v>25</v>
      </c>
      <c r="B8" s="35" t="s">
        <v>16</v>
      </c>
      <c r="C8" s="35" t="s">
        <v>17</v>
      </c>
      <c r="D8" s="36" t="s">
        <v>26</v>
      </c>
      <c r="E8" s="37"/>
      <c r="F8" s="38"/>
      <c r="G8" s="38"/>
      <c r="H8" s="38"/>
      <c r="I8" s="38"/>
      <c r="J8" s="38"/>
      <c r="K8" s="41">
        <f>K198</f>
        <v>1</v>
      </c>
      <c r="L8" s="41">
        <f>L198</f>
        <v>159552.5</v>
      </c>
      <c r="M8" s="40">
        <f>M198</f>
        <v>159552.5</v>
      </c>
      <c r="N8" s="37"/>
      <c r="O8" s="38"/>
      <c r="P8" s="38"/>
      <c r="Q8" s="38"/>
      <c r="R8" s="38"/>
      <c r="S8" s="38"/>
      <c r="T8" s="41">
        <f>T198</f>
        <v>1</v>
      </c>
      <c r="U8" s="4">
        <f>U198</f>
        <v>0</v>
      </c>
      <c r="V8" s="40">
        <f>V198</f>
        <v>0</v>
      </c>
    </row>
    <row r="9" spans="1:22" x14ac:dyDescent="0.3">
      <c r="A9" s="42" t="s">
        <v>27</v>
      </c>
      <c r="B9" s="42" t="s">
        <v>16</v>
      </c>
      <c r="C9" s="42" t="s">
        <v>17</v>
      </c>
      <c r="D9" s="43" t="s">
        <v>28</v>
      </c>
      <c r="E9" s="44"/>
      <c r="F9" s="45"/>
      <c r="G9" s="45"/>
      <c r="H9" s="45"/>
      <c r="I9" s="45"/>
      <c r="J9" s="45"/>
      <c r="K9" s="46">
        <f>K18</f>
        <v>1</v>
      </c>
      <c r="L9" s="46">
        <f>L18</f>
        <v>5975.9</v>
      </c>
      <c r="M9" s="47">
        <f>M18</f>
        <v>5975.9</v>
      </c>
      <c r="N9" s="44"/>
      <c r="O9" s="45"/>
      <c r="P9" s="45"/>
      <c r="Q9" s="45"/>
      <c r="R9" s="45"/>
      <c r="S9" s="45"/>
      <c r="T9" s="46">
        <f>T18</f>
        <v>1</v>
      </c>
      <c r="U9" s="5">
        <f>U18</f>
        <v>0</v>
      </c>
      <c r="V9" s="47">
        <f>V18</f>
        <v>0</v>
      </c>
    </row>
    <row r="10" spans="1:22" x14ac:dyDescent="0.3">
      <c r="A10" s="48" t="s">
        <v>29</v>
      </c>
      <c r="B10" s="48" t="s">
        <v>16</v>
      </c>
      <c r="C10" s="48" t="s">
        <v>17</v>
      </c>
      <c r="D10" s="49" t="s">
        <v>30</v>
      </c>
      <c r="E10" s="50"/>
      <c r="F10" s="51"/>
      <c r="G10" s="51"/>
      <c r="H10" s="51"/>
      <c r="I10" s="51"/>
      <c r="J10" s="51"/>
      <c r="K10" s="52">
        <f>K16</f>
        <v>1</v>
      </c>
      <c r="L10" s="52">
        <f>L16</f>
        <v>5975.9</v>
      </c>
      <c r="M10" s="53">
        <f>M16</f>
        <v>5975.9</v>
      </c>
      <c r="N10" s="50"/>
      <c r="O10" s="51"/>
      <c r="P10" s="51"/>
      <c r="Q10" s="51"/>
      <c r="R10" s="51"/>
      <c r="S10" s="51"/>
      <c r="T10" s="52">
        <f>T16</f>
        <v>1</v>
      </c>
      <c r="U10" s="6">
        <f>U16</f>
        <v>0</v>
      </c>
      <c r="V10" s="53">
        <f>V16</f>
        <v>0</v>
      </c>
    </row>
    <row r="11" spans="1:22" x14ac:dyDescent="0.3">
      <c r="A11" s="54" t="s">
        <v>31</v>
      </c>
      <c r="B11" s="55" t="s">
        <v>32</v>
      </c>
      <c r="C11" s="55" t="s">
        <v>33</v>
      </c>
      <c r="D11" s="56" t="s">
        <v>34</v>
      </c>
      <c r="E11" s="57"/>
      <c r="F11" s="58"/>
      <c r="G11" s="58"/>
      <c r="H11" s="58"/>
      <c r="I11" s="58"/>
      <c r="J11" s="58"/>
      <c r="K11" s="59">
        <f>K14</f>
        <v>92.88</v>
      </c>
      <c r="L11" s="59">
        <f>L14</f>
        <v>64.34</v>
      </c>
      <c r="M11" s="60">
        <f>M14</f>
        <v>5975.9</v>
      </c>
      <c r="N11" s="57"/>
      <c r="O11" s="58"/>
      <c r="P11" s="58"/>
      <c r="Q11" s="58"/>
      <c r="R11" s="58"/>
      <c r="S11" s="58"/>
      <c r="T11" s="59">
        <f>T14</f>
        <v>92.88</v>
      </c>
      <c r="U11" s="8">
        <f>U14</f>
        <v>0</v>
      </c>
      <c r="V11" s="60">
        <f>V14</f>
        <v>0</v>
      </c>
    </row>
    <row r="12" spans="1:22" ht="51" x14ac:dyDescent="0.3">
      <c r="A12" s="61"/>
      <c r="B12" s="61"/>
      <c r="C12" s="61"/>
      <c r="D12" s="56" t="s">
        <v>35</v>
      </c>
      <c r="E12" s="57"/>
      <c r="F12" s="58"/>
      <c r="G12" s="58"/>
      <c r="H12" s="58"/>
      <c r="I12" s="58"/>
      <c r="J12" s="58"/>
      <c r="K12" s="58"/>
      <c r="L12" s="58"/>
      <c r="M12" s="62"/>
      <c r="N12" s="57"/>
      <c r="O12" s="58"/>
      <c r="P12" s="58"/>
      <c r="Q12" s="58"/>
      <c r="R12" s="58"/>
      <c r="S12" s="58"/>
      <c r="T12" s="58"/>
      <c r="U12" s="7"/>
      <c r="V12" s="62"/>
    </row>
    <row r="13" spans="1:22" x14ac:dyDescent="0.3">
      <c r="A13" s="61"/>
      <c r="B13" s="61"/>
      <c r="C13" s="61"/>
      <c r="D13" s="63"/>
      <c r="E13" s="64" t="s">
        <v>17</v>
      </c>
      <c r="F13" s="65">
        <v>0</v>
      </c>
      <c r="G13" s="66">
        <v>1</v>
      </c>
      <c r="H13" s="66">
        <v>0.15</v>
      </c>
      <c r="I13" s="66">
        <v>619.21</v>
      </c>
      <c r="J13" s="59">
        <f>OR(F13&lt;&gt;0,G13&lt;&gt;0,H13&lt;&gt;0,I13&lt;&gt;0)*(F13 + (F13 = 0))*(G13 + (G13 = 0))*(H13 + (H13 = 0))*(I13 + (I13 = 0))</f>
        <v>92.88</v>
      </c>
      <c r="K13" s="58"/>
      <c r="L13" s="58"/>
      <c r="M13" s="62"/>
      <c r="N13" s="64" t="s">
        <v>17</v>
      </c>
      <c r="O13" s="65">
        <v>0</v>
      </c>
      <c r="P13" s="66">
        <v>1</v>
      </c>
      <c r="Q13" s="66">
        <v>0.15</v>
      </c>
      <c r="R13" s="66">
        <v>619.21</v>
      </c>
      <c r="S13" s="59">
        <f>OR(O13&lt;&gt;0,P13&lt;&gt;0,Q13&lt;&gt;0,R13&lt;&gt;0)*(O13 + (O13 = 0))*(P13 + (P13 = 0))*(Q13 + (Q13 = 0))*(R13 + (R13 = 0))</f>
        <v>92.88</v>
      </c>
      <c r="T13" s="58"/>
      <c r="U13" s="7"/>
      <c r="V13" s="62"/>
    </row>
    <row r="14" spans="1:22" x14ac:dyDescent="0.3">
      <c r="A14" s="61"/>
      <c r="B14" s="61"/>
      <c r="C14" s="61"/>
      <c r="D14" s="63"/>
      <c r="E14" s="57"/>
      <c r="F14" s="58"/>
      <c r="G14" s="58"/>
      <c r="H14" s="58"/>
      <c r="I14" s="58"/>
      <c r="J14" s="67" t="s">
        <v>36</v>
      </c>
      <c r="K14" s="68">
        <f>J13*1</f>
        <v>92.88</v>
      </c>
      <c r="L14" s="66">
        <f>60.7*1.06</f>
        <v>64.34</v>
      </c>
      <c r="M14" s="69">
        <f>ROUND(K14*L14,2)</f>
        <v>5975.9</v>
      </c>
      <c r="N14" s="57"/>
      <c r="O14" s="58"/>
      <c r="P14" s="58"/>
      <c r="Q14" s="58"/>
      <c r="R14" s="58"/>
      <c r="S14" s="67" t="s">
        <v>36</v>
      </c>
      <c r="T14" s="68">
        <f>S13*1</f>
        <v>92.88</v>
      </c>
      <c r="U14" s="9">
        <v>0</v>
      </c>
      <c r="V14" s="69">
        <f>ROUND(T14*U14,2)</f>
        <v>0</v>
      </c>
    </row>
    <row r="15" spans="1:22" ht="1.2" customHeight="1" x14ac:dyDescent="0.3">
      <c r="A15" s="70"/>
      <c r="B15" s="70"/>
      <c r="C15" s="70"/>
      <c r="D15" s="71"/>
      <c r="E15" s="72"/>
      <c r="F15" s="73"/>
      <c r="G15" s="73"/>
      <c r="H15" s="73"/>
      <c r="I15" s="73"/>
      <c r="J15" s="73"/>
      <c r="K15" s="73"/>
      <c r="L15" s="73"/>
      <c r="M15" s="74"/>
      <c r="N15" s="72"/>
      <c r="O15" s="73"/>
      <c r="P15" s="73"/>
      <c r="Q15" s="73"/>
      <c r="R15" s="73"/>
      <c r="S15" s="73"/>
      <c r="T15" s="73"/>
      <c r="U15" s="11"/>
      <c r="V15" s="74"/>
    </row>
    <row r="16" spans="1:22" x14ac:dyDescent="0.3">
      <c r="A16" s="61"/>
      <c r="B16" s="61"/>
      <c r="C16" s="61"/>
      <c r="D16" s="63"/>
      <c r="E16" s="57"/>
      <c r="F16" s="58"/>
      <c r="G16" s="58"/>
      <c r="H16" s="58"/>
      <c r="I16" s="58"/>
      <c r="J16" s="67" t="s">
        <v>37</v>
      </c>
      <c r="K16" s="66">
        <v>1</v>
      </c>
      <c r="L16" s="68">
        <f>M11</f>
        <v>5975.9</v>
      </c>
      <c r="M16" s="69">
        <f>ROUND(K16*L16,2)</f>
        <v>5975.9</v>
      </c>
      <c r="N16" s="57"/>
      <c r="O16" s="58"/>
      <c r="P16" s="58"/>
      <c r="Q16" s="58"/>
      <c r="R16" s="58"/>
      <c r="S16" s="67" t="s">
        <v>37</v>
      </c>
      <c r="T16" s="66">
        <v>1</v>
      </c>
      <c r="U16" s="10">
        <f>V11</f>
        <v>0</v>
      </c>
      <c r="V16" s="69">
        <f>ROUND(T16*U16,2)</f>
        <v>0</v>
      </c>
    </row>
    <row r="17" spans="1:22" ht="1.2" customHeight="1" x14ac:dyDescent="0.3">
      <c r="A17" s="70"/>
      <c r="B17" s="70"/>
      <c r="C17" s="70"/>
      <c r="D17" s="71"/>
      <c r="E17" s="72"/>
      <c r="F17" s="73"/>
      <c r="G17" s="73"/>
      <c r="H17" s="73"/>
      <c r="I17" s="73"/>
      <c r="J17" s="73"/>
      <c r="K17" s="73"/>
      <c r="L17" s="73"/>
      <c r="M17" s="74"/>
      <c r="N17" s="72"/>
      <c r="O17" s="73"/>
      <c r="P17" s="73"/>
      <c r="Q17" s="73"/>
      <c r="R17" s="73"/>
      <c r="S17" s="73"/>
      <c r="T17" s="73"/>
      <c r="U17" s="11"/>
      <c r="V17" s="74"/>
    </row>
    <row r="18" spans="1:22" x14ac:dyDescent="0.3">
      <c r="A18" s="61"/>
      <c r="B18" s="61"/>
      <c r="C18" s="61"/>
      <c r="D18" s="63"/>
      <c r="E18" s="57"/>
      <c r="F18" s="58"/>
      <c r="G18" s="58"/>
      <c r="H18" s="58"/>
      <c r="I18" s="58"/>
      <c r="J18" s="67" t="s">
        <v>38</v>
      </c>
      <c r="K18" s="66">
        <v>1</v>
      </c>
      <c r="L18" s="68">
        <f>M10</f>
        <v>5975.9</v>
      </c>
      <c r="M18" s="69">
        <f>ROUND(K18*L18,2)</f>
        <v>5975.9</v>
      </c>
      <c r="N18" s="57"/>
      <c r="O18" s="58"/>
      <c r="P18" s="58"/>
      <c r="Q18" s="58"/>
      <c r="R18" s="58"/>
      <c r="S18" s="67" t="s">
        <v>38</v>
      </c>
      <c r="T18" s="66">
        <v>1</v>
      </c>
      <c r="U18" s="10">
        <f>V10</f>
        <v>0</v>
      </c>
      <c r="V18" s="69">
        <f>ROUND(T18*U18,2)</f>
        <v>0</v>
      </c>
    </row>
    <row r="19" spans="1:22" ht="1.2" customHeight="1" x14ac:dyDescent="0.3">
      <c r="A19" s="70"/>
      <c r="B19" s="70"/>
      <c r="C19" s="70"/>
      <c r="D19" s="71"/>
      <c r="E19" s="72"/>
      <c r="F19" s="73"/>
      <c r="G19" s="73"/>
      <c r="H19" s="73"/>
      <c r="I19" s="73"/>
      <c r="J19" s="73"/>
      <c r="K19" s="73"/>
      <c r="L19" s="73"/>
      <c r="M19" s="74"/>
      <c r="N19" s="72"/>
      <c r="O19" s="73"/>
      <c r="P19" s="73"/>
      <c r="Q19" s="73"/>
      <c r="R19" s="73"/>
      <c r="S19" s="73"/>
      <c r="T19" s="73"/>
      <c r="U19" s="11"/>
      <c r="V19" s="74"/>
    </row>
    <row r="20" spans="1:22" x14ac:dyDescent="0.3">
      <c r="A20" s="42" t="s">
        <v>39</v>
      </c>
      <c r="B20" s="42" t="s">
        <v>16</v>
      </c>
      <c r="C20" s="42" t="s">
        <v>17</v>
      </c>
      <c r="D20" s="43" t="s">
        <v>40</v>
      </c>
      <c r="E20" s="44"/>
      <c r="F20" s="45"/>
      <c r="G20" s="45"/>
      <c r="H20" s="45"/>
      <c r="I20" s="45"/>
      <c r="J20" s="45"/>
      <c r="K20" s="46">
        <f>K40</f>
        <v>1</v>
      </c>
      <c r="L20" s="46">
        <f>L40</f>
        <v>1370.19</v>
      </c>
      <c r="M20" s="47">
        <f>M40</f>
        <v>1370.19</v>
      </c>
      <c r="N20" s="44"/>
      <c r="O20" s="45"/>
      <c r="P20" s="45"/>
      <c r="Q20" s="45"/>
      <c r="R20" s="45"/>
      <c r="S20" s="45"/>
      <c r="T20" s="46">
        <f>T40</f>
        <v>1</v>
      </c>
      <c r="U20" s="5">
        <f>U40</f>
        <v>0</v>
      </c>
      <c r="V20" s="47">
        <f>V40</f>
        <v>0</v>
      </c>
    </row>
    <row r="21" spans="1:22" x14ac:dyDescent="0.3">
      <c r="A21" s="48" t="s">
        <v>41</v>
      </c>
      <c r="B21" s="48" t="s">
        <v>16</v>
      </c>
      <c r="C21" s="48" t="s">
        <v>17</v>
      </c>
      <c r="D21" s="49" t="s">
        <v>42</v>
      </c>
      <c r="E21" s="50"/>
      <c r="F21" s="51"/>
      <c r="G21" s="51"/>
      <c r="H21" s="51"/>
      <c r="I21" s="51"/>
      <c r="J21" s="51"/>
      <c r="K21" s="52">
        <f>K27</f>
        <v>1</v>
      </c>
      <c r="L21" s="52">
        <f>L27</f>
        <v>1257.22</v>
      </c>
      <c r="M21" s="53">
        <f>M27</f>
        <v>1257.22</v>
      </c>
      <c r="N21" s="50"/>
      <c r="O21" s="51"/>
      <c r="P21" s="51"/>
      <c r="Q21" s="51"/>
      <c r="R21" s="51"/>
      <c r="S21" s="51"/>
      <c r="T21" s="52">
        <f>T27</f>
        <v>1</v>
      </c>
      <c r="U21" s="6">
        <f>U27</f>
        <v>0</v>
      </c>
      <c r="V21" s="53">
        <f>V27</f>
        <v>0</v>
      </c>
    </row>
    <row r="22" spans="1:22" x14ac:dyDescent="0.3">
      <c r="A22" s="54" t="s">
        <v>43</v>
      </c>
      <c r="B22" s="55" t="s">
        <v>32</v>
      </c>
      <c r="C22" s="55" t="s">
        <v>44</v>
      </c>
      <c r="D22" s="56" t="s">
        <v>45</v>
      </c>
      <c r="E22" s="57"/>
      <c r="F22" s="58"/>
      <c r="G22" s="58"/>
      <c r="H22" s="58"/>
      <c r="I22" s="58"/>
      <c r="J22" s="58"/>
      <c r="K22" s="59">
        <f>K25</f>
        <v>2619.21</v>
      </c>
      <c r="L22" s="59">
        <f>L25</f>
        <v>0.48</v>
      </c>
      <c r="M22" s="60">
        <f>M25</f>
        <v>1257.22</v>
      </c>
      <c r="N22" s="57"/>
      <c r="O22" s="58"/>
      <c r="P22" s="58"/>
      <c r="Q22" s="58"/>
      <c r="R22" s="58"/>
      <c r="S22" s="58"/>
      <c r="T22" s="59">
        <f>T25</f>
        <v>2619.21</v>
      </c>
      <c r="U22" s="8">
        <f>U25</f>
        <v>0</v>
      </c>
      <c r="V22" s="60">
        <f>V25</f>
        <v>0</v>
      </c>
    </row>
    <row r="23" spans="1:22" ht="51" x14ac:dyDescent="0.3">
      <c r="A23" s="61"/>
      <c r="B23" s="61"/>
      <c r="C23" s="61"/>
      <c r="D23" s="56" t="s">
        <v>46</v>
      </c>
      <c r="E23" s="57"/>
      <c r="F23" s="58"/>
      <c r="G23" s="58"/>
      <c r="H23" s="58"/>
      <c r="I23" s="58"/>
      <c r="J23" s="58"/>
      <c r="K23" s="58"/>
      <c r="L23" s="58"/>
      <c r="M23" s="62"/>
      <c r="N23" s="57"/>
      <c r="O23" s="58"/>
      <c r="P23" s="58"/>
      <c r="Q23" s="58"/>
      <c r="R23" s="58"/>
      <c r="S23" s="58"/>
      <c r="T23" s="58"/>
      <c r="U23" s="7"/>
      <c r="V23" s="62"/>
    </row>
    <row r="24" spans="1:22" x14ac:dyDescent="0.3">
      <c r="A24" s="61"/>
      <c r="B24" s="61"/>
      <c r="C24" s="61"/>
      <c r="D24" s="63"/>
      <c r="E24" s="64" t="s">
        <v>17</v>
      </c>
      <c r="F24" s="65">
        <v>1</v>
      </c>
      <c r="G24" s="66">
        <v>1</v>
      </c>
      <c r="H24" s="66">
        <v>1</v>
      </c>
      <c r="I24" s="66">
        <v>2619.21</v>
      </c>
      <c r="J24" s="59">
        <f>OR(F24&lt;&gt;0,G24&lt;&gt;0,H24&lt;&gt;0,I24&lt;&gt;0)*(F24 + (F24 = 0))*(G24 + (G24 = 0))*(H24 + (H24 = 0))*(I24 + (I24 = 0))</f>
        <v>2619.21</v>
      </c>
      <c r="K24" s="58"/>
      <c r="L24" s="58"/>
      <c r="M24" s="62"/>
      <c r="N24" s="64" t="s">
        <v>17</v>
      </c>
      <c r="O24" s="65">
        <v>1</v>
      </c>
      <c r="P24" s="66">
        <v>1</v>
      </c>
      <c r="Q24" s="66">
        <v>1</v>
      </c>
      <c r="R24" s="66">
        <v>2619.21</v>
      </c>
      <c r="S24" s="59">
        <f>OR(O24&lt;&gt;0,P24&lt;&gt;0,Q24&lt;&gt;0,R24&lt;&gt;0)*(O24 + (O24 = 0))*(P24 + (P24 = 0))*(Q24 + (Q24 = 0))*(R24 + (R24 = 0))</f>
        <v>2619.21</v>
      </c>
      <c r="T24" s="58"/>
      <c r="U24" s="7"/>
      <c r="V24" s="62"/>
    </row>
    <row r="25" spans="1:22" x14ac:dyDescent="0.3">
      <c r="A25" s="61"/>
      <c r="B25" s="61"/>
      <c r="C25" s="61"/>
      <c r="D25" s="63"/>
      <c r="E25" s="57"/>
      <c r="F25" s="58"/>
      <c r="G25" s="58"/>
      <c r="H25" s="58"/>
      <c r="I25" s="58"/>
      <c r="J25" s="67" t="s">
        <v>47</v>
      </c>
      <c r="K25" s="68">
        <f>J24*1</f>
        <v>2619.21</v>
      </c>
      <c r="L25" s="66">
        <f>0.45*1.06</f>
        <v>0.48</v>
      </c>
      <c r="M25" s="69">
        <f>ROUND(K25*L25,2)</f>
        <v>1257.22</v>
      </c>
      <c r="N25" s="57"/>
      <c r="O25" s="58"/>
      <c r="P25" s="58"/>
      <c r="Q25" s="58"/>
      <c r="R25" s="58"/>
      <c r="S25" s="67" t="s">
        <v>47</v>
      </c>
      <c r="T25" s="68">
        <f>S24*1</f>
        <v>2619.21</v>
      </c>
      <c r="U25" s="9">
        <v>0</v>
      </c>
      <c r="V25" s="69">
        <f>ROUND(T25*U25,2)</f>
        <v>0</v>
      </c>
    </row>
    <row r="26" spans="1:22" ht="1.2" customHeight="1" x14ac:dyDescent="0.3">
      <c r="A26" s="70"/>
      <c r="B26" s="70"/>
      <c r="C26" s="70"/>
      <c r="D26" s="71"/>
      <c r="E26" s="72"/>
      <c r="F26" s="73"/>
      <c r="G26" s="73"/>
      <c r="H26" s="73"/>
      <c r="I26" s="73"/>
      <c r="J26" s="73"/>
      <c r="K26" s="73"/>
      <c r="L26" s="73"/>
      <c r="M26" s="74"/>
      <c r="N26" s="72"/>
      <c r="O26" s="73"/>
      <c r="P26" s="73"/>
      <c r="Q26" s="73"/>
      <c r="R26" s="73"/>
      <c r="S26" s="73"/>
      <c r="T26" s="73"/>
      <c r="U26" s="11"/>
      <c r="V26" s="74"/>
    </row>
    <row r="27" spans="1:22" x14ac:dyDescent="0.3">
      <c r="A27" s="61"/>
      <c r="B27" s="61"/>
      <c r="C27" s="61"/>
      <c r="D27" s="63"/>
      <c r="E27" s="57"/>
      <c r="F27" s="58"/>
      <c r="G27" s="58"/>
      <c r="H27" s="58"/>
      <c r="I27" s="58"/>
      <c r="J27" s="67" t="s">
        <v>48</v>
      </c>
      <c r="K27" s="66">
        <v>1</v>
      </c>
      <c r="L27" s="68">
        <f>M22</f>
        <v>1257.22</v>
      </c>
      <c r="M27" s="69">
        <f>ROUND(K27*L27,2)</f>
        <v>1257.22</v>
      </c>
      <c r="N27" s="57"/>
      <c r="O27" s="58"/>
      <c r="P27" s="58"/>
      <c r="Q27" s="58"/>
      <c r="R27" s="58"/>
      <c r="S27" s="67" t="s">
        <v>48</v>
      </c>
      <c r="T27" s="66">
        <v>1</v>
      </c>
      <c r="U27" s="10">
        <f>V22</f>
        <v>0</v>
      </c>
      <c r="V27" s="69">
        <f>ROUND(T27*U27,2)</f>
        <v>0</v>
      </c>
    </row>
    <row r="28" spans="1:22" ht="1.2" customHeight="1" x14ac:dyDescent="0.3">
      <c r="A28" s="70"/>
      <c r="B28" s="70"/>
      <c r="C28" s="70"/>
      <c r="D28" s="71"/>
      <c r="E28" s="72"/>
      <c r="F28" s="73"/>
      <c r="G28" s="73"/>
      <c r="H28" s="73"/>
      <c r="I28" s="73"/>
      <c r="J28" s="73"/>
      <c r="K28" s="73"/>
      <c r="L28" s="73"/>
      <c r="M28" s="74"/>
      <c r="N28" s="72"/>
      <c r="O28" s="73"/>
      <c r="P28" s="73"/>
      <c r="Q28" s="73"/>
      <c r="R28" s="73"/>
      <c r="S28" s="73"/>
      <c r="T28" s="73"/>
      <c r="U28" s="11"/>
      <c r="V28" s="74"/>
    </row>
    <row r="29" spans="1:22" x14ac:dyDescent="0.3">
      <c r="A29" s="48" t="s">
        <v>49</v>
      </c>
      <c r="B29" s="48" t="s">
        <v>16</v>
      </c>
      <c r="C29" s="48" t="s">
        <v>17</v>
      </c>
      <c r="D29" s="49" t="s">
        <v>50</v>
      </c>
      <c r="E29" s="50"/>
      <c r="F29" s="51"/>
      <c r="G29" s="51"/>
      <c r="H29" s="51"/>
      <c r="I29" s="51"/>
      <c r="J29" s="51"/>
      <c r="K29" s="52">
        <f>K38</f>
        <v>1</v>
      </c>
      <c r="L29" s="52">
        <f>L38</f>
        <v>112.97</v>
      </c>
      <c r="M29" s="53">
        <f>M38</f>
        <v>112.97</v>
      </c>
      <c r="N29" s="50"/>
      <c r="O29" s="51"/>
      <c r="P29" s="51"/>
      <c r="Q29" s="51"/>
      <c r="R29" s="51"/>
      <c r="S29" s="51"/>
      <c r="T29" s="52">
        <f>T38</f>
        <v>1</v>
      </c>
      <c r="U29" s="6">
        <f>U38</f>
        <v>0</v>
      </c>
      <c r="V29" s="53">
        <f>V38</f>
        <v>0</v>
      </c>
    </row>
    <row r="30" spans="1:22" x14ac:dyDescent="0.3">
      <c r="A30" s="75" t="s">
        <v>51</v>
      </c>
      <c r="B30" s="75" t="s">
        <v>16</v>
      </c>
      <c r="C30" s="75" t="s">
        <v>17</v>
      </c>
      <c r="D30" s="76" t="s">
        <v>52</v>
      </c>
      <c r="E30" s="77"/>
      <c r="F30" s="78"/>
      <c r="G30" s="78"/>
      <c r="H30" s="78"/>
      <c r="I30" s="78"/>
      <c r="J30" s="78"/>
      <c r="K30" s="79">
        <f>K36</f>
        <v>1</v>
      </c>
      <c r="L30" s="79">
        <f>L36</f>
        <v>112.97</v>
      </c>
      <c r="M30" s="80">
        <f>M36</f>
        <v>112.97</v>
      </c>
      <c r="N30" s="77"/>
      <c r="O30" s="78"/>
      <c r="P30" s="78"/>
      <c r="Q30" s="78"/>
      <c r="R30" s="78"/>
      <c r="S30" s="78"/>
      <c r="T30" s="79">
        <f>T36</f>
        <v>1</v>
      </c>
      <c r="U30" s="12">
        <f>U36</f>
        <v>0</v>
      </c>
      <c r="V30" s="80">
        <f>V36</f>
        <v>0</v>
      </c>
    </row>
    <row r="31" spans="1:22" x14ac:dyDescent="0.3">
      <c r="A31" s="54" t="s">
        <v>53</v>
      </c>
      <c r="B31" s="55" t="s">
        <v>32</v>
      </c>
      <c r="C31" s="55" t="s">
        <v>33</v>
      </c>
      <c r="D31" s="56" t="s">
        <v>54</v>
      </c>
      <c r="E31" s="57"/>
      <c r="F31" s="58"/>
      <c r="G31" s="58"/>
      <c r="H31" s="58"/>
      <c r="I31" s="58"/>
      <c r="J31" s="58"/>
      <c r="K31" s="59">
        <f>K34</f>
        <v>59.77</v>
      </c>
      <c r="L31" s="59">
        <f>L34</f>
        <v>1.89</v>
      </c>
      <c r="M31" s="60">
        <f>M34</f>
        <v>112.97</v>
      </c>
      <c r="N31" s="57"/>
      <c r="O31" s="58"/>
      <c r="P31" s="58"/>
      <c r="Q31" s="58"/>
      <c r="R31" s="58"/>
      <c r="S31" s="58"/>
      <c r="T31" s="59">
        <f>T34</f>
        <v>59.77</v>
      </c>
      <c r="U31" s="8">
        <f>U34</f>
        <v>0</v>
      </c>
      <c r="V31" s="60">
        <f>V34</f>
        <v>0</v>
      </c>
    </row>
    <row r="32" spans="1:22" ht="71.400000000000006" x14ac:dyDescent="0.3">
      <c r="A32" s="61"/>
      <c r="B32" s="61"/>
      <c r="C32" s="61"/>
      <c r="D32" s="56" t="s">
        <v>55</v>
      </c>
      <c r="E32" s="57"/>
      <c r="F32" s="58"/>
      <c r="G32" s="58"/>
      <c r="H32" s="58"/>
      <c r="I32" s="58"/>
      <c r="J32" s="58"/>
      <c r="K32" s="58"/>
      <c r="L32" s="58"/>
      <c r="M32" s="62"/>
      <c r="N32" s="57"/>
      <c r="O32" s="58"/>
      <c r="P32" s="58"/>
      <c r="Q32" s="58"/>
      <c r="R32" s="58"/>
      <c r="S32" s="58"/>
      <c r="T32" s="58"/>
      <c r="U32" s="7"/>
      <c r="V32" s="62"/>
    </row>
    <row r="33" spans="1:22" x14ac:dyDescent="0.3">
      <c r="A33" s="61"/>
      <c r="B33" s="61"/>
      <c r="C33" s="61"/>
      <c r="D33" s="63"/>
      <c r="E33" s="64" t="s">
        <v>17</v>
      </c>
      <c r="F33" s="65">
        <v>1</v>
      </c>
      <c r="G33" s="66">
        <v>1</v>
      </c>
      <c r="H33" s="66">
        <v>70.319999999999993</v>
      </c>
      <c r="I33" s="66">
        <v>0.85</v>
      </c>
      <c r="J33" s="59">
        <f>OR(F33&lt;&gt;0,G33&lt;&gt;0,H33&lt;&gt;0,I33&lt;&gt;0)*(F33 + (F33 = 0))*(G33 + (G33 = 0))*(H33 + (H33 = 0))*(I33 + (I33 = 0))</f>
        <v>59.77</v>
      </c>
      <c r="K33" s="58"/>
      <c r="L33" s="58"/>
      <c r="M33" s="62"/>
      <c r="N33" s="64" t="s">
        <v>17</v>
      </c>
      <c r="O33" s="65">
        <v>1</v>
      </c>
      <c r="P33" s="66">
        <v>1</v>
      </c>
      <c r="Q33" s="66">
        <v>70.319999999999993</v>
      </c>
      <c r="R33" s="66">
        <v>0.85</v>
      </c>
      <c r="S33" s="59">
        <f>OR(O33&lt;&gt;0,P33&lt;&gt;0,Q33&lt;&gt;0,R33&lt;&gt;0)*(O33 + (O33 = 0))*(P33 + (P33 = 0))*(Q33 + (Q33 = 0))*(R33 + (R33 = 0))</f>
        <v>59.77</v>
      </c>
      <c r="T33" s="58"/>
      <c r="U33" s="7"/>
      <c r="V33" s="62"/>
    </row>
    <row r="34" spans="1:22" x14ac:dyDescent="0.3">
      <c r="A34" s="61"/>
      <c r="B34" s="61"/>
      <c r="C34" s="61"/>
      <c r="D34" s="63"/>
      <c r="E34" s="57"/>
      <c r="F34" s="58"/>
      <c r="G34" s="58"/>
      <c r="H34" s="58"/>
      <c r="I34" s="58"/>
      <c r="J34" s="67" t="s">
        <v>56</v>
      </c>
      <c r="K34" s="68">
        <f>J33*1</f>
        <v>59.77</v>
      </c>
      <c r="L34" s="66">
        <f>1.78*1.06</f>
        <v>1.89</v>
      </c>
      <c r="M34" s="69">
        <f>ROUND(K34*L34,2)</f>
        <v>112.97</v>
      </c>
      <c r="N34" s="57"/>
      <c r="O34" s="58"/>
      <c r="P34" s="58"/>
      <c r="Q34" s="58"/>
      <c r="R34" s="58"/>
      <c r="S34" s="67" t="s">
        <v>56</v>
      </c>
      <c r="T34" s="68">
        <f>S33*1</f>
        <v>59.77</v>
      </c>
      <c r="U34" s="9">
        <v>0</v>
      </c>
      <c r="V34" s="69">
        <f>ROUND(T34*U34,2)</f>
        <v>0</v>
      </c>
    </row>
    <row r="35" spans="1:22" ht="1.2" customHeight="1" x14ac:dyDescent="0.3">
      <c r="A35" s="70"/>
      <c r="B35" s="70"/>
      <c r="C35" s="70"/>
      <c r="D35" s="71"/>
      <c r="E35" s="72"/>
      <c r="F35" s="73"/>
      <c r="G35" s="73"/>
      <c r="H35" s="73"/>
      <c r="I35" s="73"/>
      <c r="J35" s="73"/>
      <c r="K35" s="73"/>
      <c r="L35" s="73"/>
      <c r="M35" s="74"/>
      <c r="N35" s="72"/>
      <c r="O35" s="73"/>
      <c r="P35" s="73"/>
      <c r="Q35" s="73"/>
      <c r="R35" s="73"/>
      <c r="S35" s="73"/>
      <c r="T35" s="73"/>
      <c r="U35" s="11"/>
      <c r="V35" s="74"/>
    </row>
    <row r="36" spans="1:22" x14ac:dyDescent="0.3">
      <c r="A36" s="61"/>
      <c r="B36" s="61"/>
      <c r="C36" s="61"/>
      <c r="D36" s="63"/>
      <c r="E36" s="57"/>
      <c r="F36" s="58"/>
      <c r="G36" s="58"/>
      <c r="H36" s="58"/>
      <c r="I36" s="58"/>
      <c r="J36" s="67" t="s">
        <v>57</v>
      </c>
      <c r="K36" s="66">
        <v>1</v>
      </c>
      <c r="L36" s="68">
        <f>M31</f>
        <v>112.97</v>
      </c>
      <c r="M36" s="69">
        <f>ROUND(K36*L36,2)</f>
        <v>112.97</v>
      </c>
      <c r="N36" s="57"/>
      <c r="O36" s="58"/>
      <c r="P36" s="58"/>
      <c r="Q36" s="58"/>
      <c r="R36" s="58"/>
      <c r="S36" s="67" t="s">
        <v>57</v>
      </c>
      <c r="T36" s="66">
        <v>1</v>
      </c>
      <c r="U36" s="10">
        <f>V31</f>
        <v>0</v>
      </c>
      <c r="V36" s="69">
        <f>ROUND(T36*U36,2)</f>
        <v>0</v>
      </c>
    </row>
    <row r="37" spans="1:22" ht="1.2" customHeight="1" x14ac:dyDescent="0.3">
      <c r="A37" s="70"/>
      <c r="B37" s="70"/>
      <c r="C37" s="70"/>
      <c r="D37" s="71"/>
      <c r="E37" s="72"/>
      <c r="F37" s="73"/>
      <c r="G37" s="73"/>
      <c r="H37" s="73"/>
      <c r="I37" s="73"/>
      <c r="J37" s="73"/>
      <c r="K37" s="73"/>
      <c r="L37" s="73"/>
      <c r="M37" s="74"/>
      <c r="N37" s="72"/>
      <c r="O37" s="73"/>
      <c r="P37" s="73"/>
      <c r="Q37" s="73"/>
      <c r="R37" s="73"/>
      <c r="S37" s="73"/>
      <c r="T37" s="73"/>
      <c r="U37" s="11"/>
      <c r="V37" s="74"/>
    </row>
    <row r="38" spans="1:22" x14ac:dyDescent="0.3">
      <c r="A38" s="61"/>
      <c r="B38" s="61"/>
      <c r="C38" s="61"/>
      <c r="D38" s="63"/>
      <c r="E38" s="57"/>
      <c r="F38" s="58"/>
      <c r="G38" s="58"/>
      <c r="H38" s="58"/>
      <c r="I38" s="58"/>
      <c r="J38" s="67" t="s">
        <v>58</v>
      </c>
      <c r="K38" s="66">
        <v>1</v>
      </c>
      <c r="L38" s="68">
        <f>M30</f>
        <v>112.97</v>
      </c>
      <c r="M38" s="69">
        <f>ROUND(K38*L38,2)</f>
        <v>112.97</v>
      </c>
      <c r="N38" s="57"/>
      <c r="O38" s="58"/>
      <c r="P38" s="58"/>
      <c r="Q38" s="58"/>
      <c r="R38" s="58"/>
      <c r="S38" s="67" t="s">
        <v>58</v>
      </c>
      <c r="T38" s="66">
        <v>1</v>
      </c>
      <c r="U38" s="10">
        <f>V30</f>
        <v>0</v>
      </c>
      <c r="V38" s="69">
        <f>ROUND(T38*U38,2)</f>
        <v>0</v>
      </c>
    </row>
    <row r="39" spans="1:22" ht="1.2" customHeight="1" x14ac:dyDescent="0.3">
      <c r="A39" s="70"/>
      <c r="B39" s="70"/>
      <c r="C39" s="70"/>
      <c r="D39" s="71"/>
      <c r="E39" s="72"/>
      <c r="F39" s="73"/>
      <c r="G39" s="73"/>
      <c r="H39" s="73"/>
      <c r="I39" s="73"/>
      <c r="J39" s="73"/>
      <c r="K39" s="73"/>
      <c r="L39" s="73"/>
      <c r="M39" s="74"/>
      <c r="N39" s="72"/>
      <c r="O39" s="73"/>
      <c r="P39" s="73"/>
      <c r="Q39" s="73"/>
      <c r="R39" s="73"/>
      <c r="S39" s="73"/>
      <c r="T39" s="73"/>
      <c r="U39" s="11"/>
      <c r="V39" s="74"/>
    </row>
    <row r="40" spans="1:22" x14ac:dyDescent="0.3">
      <c r="A40" s="61"/>
      <c r="B40" s="61"/>
      <c r="C40" s="61"/>
      <c r="D40" s="63"/>
      <c r="E40" s="57"/>
      <c r="F40" s="58"/>
      <c r="G40" s="58"/>
      <c r="H40" s="58"/>
      <c r="I40" s="58"/>
      <c r="J40" s="67" t="s">
        <v>59</v>
      </c>
      <c r="K40" s="66">
        <v>1</v>
      </c>
      <c r="L40" s="68">
        <f>M21+M29</f>
        <v>1370.19</v>
      </c>
      <c r="M40" s="69">
        <f>ROUND(K40*L40,2)</f>
        <v>1370.19</v>
      </c>
      <c r="N40" s="57"/>
      <c r="O40" s="58"/>
      <c r="P40" s="58"/>
      <c r="Q40" s="58"/>
      <c r="R40" s="58"/>
      <c r="S40" s="67" t="s">
        <v>59</v>
      </c>
      <c r="T40" s="66">
        <v>1</v>
      </c>
      <c r="U40" s="10">
        <f>V21+V29</f>
        <v>0</v>
      </c>
      <c r="V40" s="69">
        <f>ROUND(T40*U40,2)</f>
        <v>0</v>
      </c>
    </row>
    <row r="41" spans="1:22" ht="1.2" customHeight="1" x14ac:dyDescent="0.3">
      <c r="A41" s="70"/>
      <c r="B41" s="70"/>
      <c r="C41" s="70"/>
      <c r="D41" s="71"/>
      <c r="E41" s="72"/>
      <c r="F41" s="73"/>
      <c r="G41" s="73"/>
      <c r="H41" s="73"/>
      <c r="I41" s="73"/>
      <c r="J41" s="73"/>
      <c r="K41" s="73"/>
      <c r="L41" s="73"/>
      <c r="M41" s="74"/>
      <c r="N41" s="72"/>
      <c r="O41" s="73"/>
      <c r="P41" s="73"/>
      <c r="Q41" s="73"/>
      <c r="R41" s="73"/>
      <c r="S41" s="73"/>
      <c r="T41" s="73"/>
      <c r="U41" s="11"/>
      <c r="V41" s="74"/>
    </row>
    <row r="42" spans="1:22" x14ac:dyDescent="0.3">
      <c r="A42" s="42" t="s">
        <v>60</v>
      </c>
      <c r="B42" s="42" t="s">
        <v>16</v>
      </c>
      <c r="C42" s="42" t="s">
        <v>17</v>
      </c>
      <c r="D42" s="43" t="s">
        <v>61</v>
      </c>
      <c r="E42" s="44"/>
      <c r="F42" s="45"/>
      <c r="G42" s="45"/>
      <c r="H42" s="45"/>
      <c r="I42" s="45"/>
      <c r="J42" s="45"/>
      <c r="K42" s="46">
        <f>K53</f>
        <v>1</v>
      </c>
      <c r="L42" s="46">
        <f>L53</f>
        <v>67691.66</v>
      </c>
      <c r="M42" s="47">
        <f>M53</f>
        <v>67691.66</v>
      </c>
      <c r="N42" s="44"/>
      <c r="O42" s="45"/>
      <c r="P42" s="45"/>
      <c r="Q42" s="45"/>
      <c r="R42" s="45"/>
      <c r="S42" s="45"/>
      <c r="T42" s="46">
        <f>T53</f>
        <v>1</v>
      </c>
      <c r="U42" s="5">
        <f>U53</f>
        <v>0</v>
      </c>
      <c r="V42" s="47">
        <f>V53</f>
        <v>0</v>
      </c>
    </row>
    <row r="43" spans="1:22" ht="20.399999999999999" x14ac:dyDescent="0.3">
      <c r="A43" s="54" t="s">
        <v>62</v>
      </c>
      <c r="B43" s="55" t="s">
        <v>32</v>
      </c>
      <c r="C43" s="55" t="s">
        <v>33</v>
      </c>
      <c r="D43" s="56" t="s">
        <v>63</v>
      </c>
      <c r="E43" s="57"/>
      <c r="F43" s="58"/>
      <c r="G43" s="58"/>
      <c r="H43" s="58"/>
      <c r="I43" s="58"/>
      <c r="J43" s="58"/>
      <c r="K43" s="59">
        <f>K46</f>
        <v>654.79999999999995</v>
      </c>
      <c r="L43" s="59">
        <f>L46</f>
        <v>102.28</v>
      </c>
      <c r="M43" s="60">
        <f>M46</f>
        <v>66972.94</v>
      </c>
      <c r="N43" s="57"/>
      <c r="O43" s="58"/>
      <c r="P43" s="58"/>
      <c r="Q43" s="58"/>
      <c r="R43" s="58"/>
      <c r="S43" s="58"/>
      <c r="T43" s="59">
        <f>T46</f>
        <v>654.79999999999995</v>
      </c>
      <c r="U43" s="8">
        <f>U46</f>
        <v>0</v>
      </c>
      <c r="V43" s="60">
        <f>V46</f>
        <v>0</v>
      </c>
    </row>
    <row r="44" spans="1:22" ht="112.2" x14ac:dyDescent="0.3">
      <c r="A44" s="61"/>
      <c r="B44" s="61"/>
      <c r="C44" s="61"/>
      <c r="D44" s="56" t="s">
        <v>64</v>
      </c>
      <c r="E44" s="57"/>
      <c r="F44" s="58"/>
      <c r="G44" s="58"/>
      <c r="H44" s="58"/>
      <c r="I44" s="58"/>
      <c r="J44" s="58"/>
      <c r="K44" s="58"/>
      <c r="L44" s="58"/>
      <c r="M44" s="62"/>
      <c r="N44" s="57"/>
      <c r="O44" s="58"/>
      <c r="P44" s="58"/>
      <c r="Q44" s="58"/>
      <c r="R44" s="58"/>
      <c r="S44" s="58"/>
      <c r="T44" s="58"/>
      <c r="U44" s="7"/>
      <c r="V44" s="62"/>
    </row>
    <row r="45" spans="1:22" x14ac:dyDescent="0.3">
      <c r="A45" s="61"/>
      <c r="B45" s="61"/>
      <c r="C45" s="61"/>
      <c r="D45" s="63"/>
      <c r="E45" s="64" t="s">
        <v>17</v>
      </c>
      <c r="F45" s="65">
        <v>0</v>
      </c>
      <c r="G45" s="66">
        <v>0</v>
      </c>
      <c r="H45" s="66">
        <v>2619.21</v>
      </c>
      <c r="I45" s="66">
        <v>0.25</v>
      </c>
      <c r="J45" s="59">
        <f>OR(F45&lt;&gt;0,G45&lt;&gt;0,H45&lt;&gt;0,I45&lt;&gt;0)*(F45 + (F45 = 0))*(G45 + (G45 = 0))*(H45 + (H45 = 0))*(I45 + (I45 = 0))</f>
        <v>654.79999999999995</v>
      </c>
      <c r="K45" s="58"/>
      <c r="L45" s="58"/>
      <c r="M45" s="62"/>
      <c r="N45" s="64" t="s">
        <v>17</v>
      </c>
      <c r="O45" s="65">
        <v>0</v>
      </c>
      <c r="P45" s="66">
        <v>0</v>
      </c>
      <c r="Q45" s="66">
        <v>2619.21</v>
      </c>
      <c r="R45" s="66">
        <v>0.25</v>
      </c>
      <c r="S45" s="59">
        <f>OR(O45&lt;&gt;0,P45&lt;&gt;0,Q45&lt;&gt;0,R45&lt;&gt;0)*(O45 + (O45 = 0))*(P45 + (P45 = 0))*(Q45 + (Q45 = 0))*(R45 + (R45 = 0))</f>
        <v>654.79999999999995</v>
      </c>
      <c r="T45" s="58"/>
      <c r="U45" s="7"/>
      <c r="V45" s="62"/>
    </row>
    <row r="46" spans="1:22" x14ac:dyDescent="0.3">
      <c r="A46" s="61"/>
      <c r="B46" s="61"/>
      <c r="C46" s="61"/>
      <c r="D46" s="63"/>
      <c r="E46" s="57"/>
      <c r="F46" s="58"/>
      <c r="G46" s="58"/>
      <c r="H46" s="58"/>
      <c r="I46" s="58"/>
      <c r="J46" s="67" t="s">
        <v>65</v>
      </c>
      <c r="K46" s="68">
        <f>J45*1</f>
        <v>654.79999999999995</v>
      </c>
      <c r="L46" s="66">
        <f>96.49*1.06</f>
        <v>102.28</v>
      </c>
      <c r="M46" s="69">
        <f>ROUND(K46*L46,2)</f>
        <v>66972.94</v>
      </c>
      <c r="N46" s="57"/>
      <c r="O46" s="58"/>
      <c r="P46" s="58"/>
      <c r="Q46" s="58"/>
      <c r="R46" s="58"/>
      <c r="S46" s="67" t="s">
        <v>65</v>
      </c>
      <c r="T46" s="68">
        <f>S45*1</f>
        <v>654.79999999999995</v>
      </c>
      <c r="U46" s="9">
        <v>0</v>
      </c>
      <c r="V46" s="69">
        <f>ROUND(T46*U46,2)</f>
        <v>0</v>
      </c>
    </row>
    <row r="47" spans="1:22" ht="1.2" customHeight="1" x14ac:dyDescent="0.3">
      <c r="A47" s="70"/>
      <c r="B47" s="70"/>
      <c r="C47" s="70"/>
      <c r="D47" s="71"/>
      <c r="E47" s="72"/>
      <c r="F47" s="73"/>
      <c r="G47" s="73"/>
      <c r="H47" s="73"/>
      <c r="I47" s="73"/>
      <c r="J47" s="73"/>
      <c r="K47" s="73"/>
      <c r="L47" s="73"/>
      <c r="M47" s="74"/>
      <c r="N47" s="72"/>
      <c r="O47" s="73"/>
      <c r="P47" s="73"/>
      <c r="Q47" s="73"/>
      <c r="R47" s="73"/>
      <c r="S47" s="73"/>
      <c r="T47" s="73"/>
      <c r="U47" s="11"/>
      <c r="V47" s="74"/>
    </row>
    <row r="48" spans="1:22" x14ac:dyDescent="0.3">
      <c r="A48" s="54" t="s">
        <v>66</v>
      </c>
      <c r="B48" s="55" t="s">
        <v>32</v>
      </c>
      <c r="C48" s="55" t="s">
        <v>67</v>
      </c>
      <c r="D48" s="56" t="s">
        <v>68</v>
      </c>
      <c r="E48" s="57"/>
      <c r="F48" s="58"/>
      <c r="G48" s="58"/>
      <c r="H48" s="58"/>
      <c r="I48" s="58"/>
      <c r="J48" s="58"/>
      <c r="K48" s="59">
        <f>K51</f>
        <v>313.85000000000002</v>
      </c>
      <c r="L48" s="59">
        <f>L51</f>
        <v>2.29</v>
      </c>
      <c r="M48" s="60">
        <f>M51</f>
        <v>718.72</v>
      </c>
      <c r="N48" s="57"/>
      <c r="O48" s="58"/>
      <c r="P48" s="58"/>
      <c r="Q48" s="58"/>
      <c r="R48" s="58"/>
      <c r="S48" s="58"/>
      <c r="T48" s="59">
        <f>T51</f>
        <v>313.85000000000002</v>
      </c>
      <c r="U48" s="8">
        <f>U51</f>
        <v>0</v>
      </c>
      <c r="V48" s="60">
        <f>V51</f>
        <v>0</v>
      </c>
    </row>
    <row r="49" spans="1:22" ht="81.599999999999994" x14ac:dyDescent="0.3">
      <c r="A49" s="61"/>
      <c r="B49" s="61"/>
      <c r="C49" s="61"/>
      <c r="D49" s="56" t="s">
        <v>69</v>
      </c>
      <c r="E49" s="57"/>
      <c r="F49" s="58"/>
      <c r="G49" s="58"/>
      <c r="H49" s="58"/>
      <c r="I49" s="58"/>
      <c r="J49" s="58"/>
      <c r="K49" s="58"/>
      <c r="L49" s="58"/>
      <c r="M49" s="62"/>
      <c r="N49" s="57"/>
      <c r="O49" s="58"/>
      <c r="P49" s="58"/>
      <c r="Q49" s="58"/>
      <c r="R49" s="58"/>
      <c r="S49" s="58"/>
      <c r="T49" s="58"/>
      <c r="U49" s="7"/>
      <c r="V49" s="62"/>
    </row>
    <row r="50" spans="1:22" x14ac:dyDescent="0.3">
      <c r="A50" s="61"/>
      <c r="B50" s="61"/>
      <c r="C50" s="61"/>
      <c r="D50" s="63"/>
      <c r="E50" s="64" t="s">
        <v>17</v>
      </c>
      <c r="F50" s="65">
        <v>0</v>
      </c>
      <c r="G50" s="66">
        <v>313.85000000000002</v>
      </c>
      <c r="H50" s="66">
        <v>0</v>
      </c>
      <c r="I50" s="66">
        <v>0</v>
      </c>
      <c r="J50" s="59">
        <f>OR(F50&lt;&gt;0,G50&lt;&gt;0,H50&lt;&gt;0,I50&lt;&gt;0)*(F50 + (F50 = 0))*(G50 + (G50 = 0))*(H50 + (H50 = 0))*(I50 + (I50 = 0))</f>
        <v>313.85000000000002</v>
      </c>
      <c r="K50" s="58"/>
      <c r="L50" s="58"/>
      <c r="M50" s="62"/>
      <c r="N50" s="64" t="s">
        <v>17</v>
      </c>
      <c r="O50" s="65">
        <v>0</v>
      </c>
      <c r="P50" s="66">
        <v>313.85000000000002</v>
      </c>
      <c r="Q50" s="66">
        <v>0</v>
      </c>
      <c r="R50" s="66">
        <v>0</v>
      </c>
      <c r="S50" s="59">
        <f>OR(O50&lt;&gt;0,P50&lt;&gt;0,Q50&lt;&gt;0,R50&lt;&gt;0)*(O50 + (O50 = 0))*(P50 + (P50 = 0))*(Q50 + (Q50 = 0))*(R50 + (R50 = 0))</f>
        <v>313.85000000000002</v>
      </c>
      <c r="T50" s="58"/>
      <c r="U50" s="7"/>
      <c r="V50" s="62"/>
    </row>
    <row r="51" spans="1:22" x14ac:dyDescent="0.3">
      <c r="A51" s="61"/>
      <c r="B51" s="61"/>
      <c r="C51" s="61"/>
      <c r="D51" s="63"/>
      <c r="E51" s="57"/>
      <c r="F51" s="58"/>
      <c r="G51" s="58"/>
      <c r="H51" s="58"/>
      <c r="I51" s="58"/>
      <c r="J51" s="67" t="s">
        <v>70</v>
      </c>
      <c r="K51" s="68">
        <f>J50*1</f>
        <v>313.85000000000002</v>
      </c>
      <c r="L51" s="66">
        <f>2.16*1.06</f>
        <v>2.29</v>
      </c>
      <c r="M51" s="69">
        <f>ROUND(K51*L51,2)</f>
        <v>718.72</v>
      </c>
      <c r="N51" s="57"/>
      <c r="O51" s="58"/>
      <c r="P51" s="58"/>
      <c r="Q51" s="58"/>
      <c r="R51" s="58"/>
      <c r="S51" s="67" t="s">
        <v>70</v>
      </c>
      <c r="T51" s="68">
        <f>S50*1</f>
        <v>313.85000000000002</v>
      </c>
      <c r="U51" s="9">
        <v>0</v>
      </c>
      <c r="V51" s="69">
        <f>ROUND(T51*U51,2)</f>
        <v>0</v>
      </c>
    </row>
    <row r="52" spans="1:22" ht="1.2" customHeight="1" x14ac:dyDescent="0.3">
      <c r="A52" s="70"/>
      <c r="B52" s="70"/>
      <c r="C52" s="70"/>
      <c r="D52" s="71"/>
      <c r="E52" s="72"/>
      <c r="F52" s="73"/>
      <c r="G52" s="73"/>
      <c r="H52" s="73"/>
      <c r="I52" s="73"/>
      <c r="J52" s="73"/>
      <c r="K52" s="73"/>
      <c r="L52" s="73"/>
      <c r="M52" s="74"/>
      <c r="N52" s="72"/>
      <c r="O52" s="73"/>
      <c r="P52" s="73"/>
      <c r="Q52" s="73"/>
      <c r="R52" s="73"/>
      <c r="S52" s="73"/>
      <c r="T52" s="73"/>
      <c r="U52" s="11"/>
      <c r="V52" s="74"/>
    </row>
    <row r="53" spans="1:22" x14ac:dyDescent="0.3">
      <c r="A53" s="61"/>
      <c r="B53" s="61"/>
      <c r="C53" s="61"/>
      <c r="D53" s="63"/>
      <c r="E53" s="57"/>
      <c r="F53" s="58"/>
      <c r="G53" s="58"/>
      <c r="H53" s="58"/>
      <c r="I53" s="58"/>
      <c r="J53" s="67" t="s">
        <v>71</v>
      </c>
      <c r="K53" s="66">
        <v>1</v>
      </c>
      <c r="L53" s="68">
        <f>M43+M48</f>
        <v>67691.66</v>
      </c>
      <c r="M53" s="69">
        <f>ROUND(K53*L53,2)</f>
        <v>67691.66</v>
      </c>
      <c r="N53" s="57"/>
      <c r="O53" s="58"/>
      <c r="P53" s="58"/>
      <c r="Q53" s="58"/>
      <c r="R53" s="58"/>
      <c r="S53" s="67" t="s">
        <v>71</v>
      </c>
      <c r="T53" s="66">
        <v>1</v>
      </c>
      <c r="U53" s="10">
        <f>V43+V48</f>
        <v>0</v>
      </c>
      <c r="V53" s="69">
        <f>ROUND(T53*U53,2)</f>
        <v>0</v>
      </c>
    </row>
    <row r="54" spans="1:22" ht="1.2" customHeight="1" x14ac:dyDescent="0.3">
      <c r="A54" s="70"/>
      <c r="B54" s="70"/>
      <c r="C54" s="70"/>
      <c r="D54" s="71"/>
      <c r="E54" s="72"/>
      <c r="F54" s="73"/>
      <c r="G54" s="73"/>
      <c r="H54" s="73"/>
      <c r="I54" s="73"/>
      <c r="J54" s="73"/>
      <c r="K54" s="73"/>
      <c r="L54" s="73"/>
      <c r="M54" s="74"/>
      <c r="N54" s="72"/>
      <c r="O54" s="73"/>
      <c r="P54" s="73"/>
      <c r="Q54" s="73"/>
      <c r="R54" s="73"/>
      <c r="S54" s="73"/>
      <c r="T54" s="73"/>
      <c r="U54" s="11"/>
      <c r="V54" s="74"/>
    </row>
    <row r="55" spans="1:22" x14ac:dyDescent="0.3">
      <c r="A55" s="42" t="s">
        <v>72</v>
      </c>
      <c r="B55" s="42" t="s">
        <v>16</v>
      </c>
      <c r="C55" s="42" t="s">
        <v>17</v>
      </c>
      <c r="D55" s="43" t="s">
        <v>73</v>
      </c>
      <c r="E55" s="44"/>
      <c r="F55" s="45"/>
      <c r="G55" s="45"/>
      <c r="H55" s="45"/>
      <c r="I55" s="45"/>
      <c r="J55" s="45"/>
      <c r="K55" s="46">
        <f>K156</f>
        <v>1</v>
      </c>
      <c r="L55" s="46">
        <f>L156</f>
        <v>29198.36</v>
      </c>
      <c r="M55" s="47">
        <f>M156</f>
        <v>29198.36</v>
      </c>
      <c r="N55" s="44"/>
      <c r="O55" s="45"/>
      <c r="P55" s="45"/>
      <c r="Q55" s="45"/>
      <c r="R55" s="45"/>
      <c r="S55" s="45"/>
      <c r="T55" s="46">
        <f>T156</f>
        <v>1</v>
      </c>
      <c r="U55" s="5">
        <f>U156</f>
        <v>0</v>
      </c>
      <c r="V55" s="47">
        <f>V156</f>
        <v>0</v>
      </c>
    </row>
    <row r="56" spans="1:22" x14ac:dyDescent="0.3">
      <c r="A56" s="48" t="s">
        <v>74</v>
      </c>
      <c r="B56" s="48" t="s">
        <v>16</v>
      </c>
      <c r="C56" s="48" t="s">
        <v>17</v>
      </c>
      <c r="D56" s="49" t="s">
        <v>75</v>
      </c>
      <c r="E56" s="50"/>
      <c r="F56" s="51"/>
      <c r="G56" s="51"/>
      <c r="H56" s="51"/>
      <c r="I56" s="51"/>
      <c r="J56" s="51"/>
      <c r="K56" s="52">
        <f>K90</f>
        <v>1</v>
      </c>
      <c r="L56" s="52">
        <f>L90</f>
        <v>3179.52</v>
      </c>
      <c r="M56" s="53">
        <f>M90</f>
        <v>3179.52</v>
      </c>
      <c r="N56" s="50"/>
      <c r="O56" s="51"/>
      <c r="P56" s="51"/>
      <c r="Q56" s="51"/>
      <c r="R56" s="51"/>
      <c r="S56" s="51"/>
      <c r="T56" s="52">
        <f>T90</f>
        <v>1</v>
      </c>
      <c r="U56" s="6">
        <f>U90</f>
        <v>0</v>
      </c>
      <c r="V56" s="53">
        <f>V90</f>
        <v>0</v>
      </c>
    </row>
    <row r="57" spans="1:22" x14ac:dyDescent="0.3">
      <c r="A57" s="75" t="s">
        <v>76</v>
      </c>
      <c r="B57" s="75" t="s">
        <v>16</v>
      </c>
      <c r="C57" s="75" t="s">
        <v>17</v>
      </c>
      <c r="D57" s="76" t="s">
        <v>77</v>
      </c>
      <c r="E57" s="77"/>
      <c r="F57" s="78"/>
      <c r="G57" s="78"/>
      <c r="H57" s="78"/>
      <c r="I57" s="78"/>
      <c r="J57" s="78"/>
      <c r="K57" s="79">
        <f>K70</f>
        <v>1</v>
      </c>
      <c r="L57" s="79">
        <f>L70</f>
        <v>1251.98</v>
      </c>
      <c r="M57" s="80">
        <f>M70</f>
        <v>1251.98</v>
      </c>
      <c r="N57" s="77"/>
      <c r="O57" s="78"/>
      <c r="P57" s="78"/>
      <c r="Q57" s="78"/>
      <c r="R57" s="78"/>
      <c r="S57" s="78"/>
      <c r="T57" s="79">
        <f>T70</f>
        <v>1</v>
      </c>
      <c r="U57" s="12">
        <f>U70</f>
        <v>0</v>
      </c>
      <c r="V57" s="80">
        <f>V70</f>
        <v>0</v>
      </c>
    </row>
    <row r="58" spans="1:22" x14ac:dyDescent="0.3">
      <c r="A58" s="54" t="s">
        <v>78</v>
      </c>
      <c r="B58" s="55" t="s">
        <v>32</v>
      </c>
      <c r="C58" s="55" t="s">
        <v>44</v>
      </c>
      <c r="D58" s="56" t="s">
        <v>79</v>
      </c>
      <c r="E58" s="57"/>
      <c r="F58" s="58"/>
      <c r="G58" s="58"/>
      <c r="H58" s="58"/>
      <c r="I58" s="58"/>
      <c r="J58" s="58"/>
      <c r="K58" s="59">
        <f>K68</f>
        <v>74.790000000000006</v>
      </c>
      <c r="L58" s="59">
        <f>L68</f>
        <v>16.739999999999998</v>
      </c>
      <c r="M58" s="60">
        <f>M68</f>
        <v>1251.98</v>
      </c>
      <c r="N58" s="57"/>
      <c r="O58" s="58"/>
      <c r="P58" s="58"/>
      <c r="Q58" s="58"/>
      <c r="R58" s="58"/>
      <c r="S58" s="58"/>
      <c r="T58" s="59">
        <f>T68</f>
        <v>74.790000000000006</v>
      </c>
      <c r="U58" s="8">
        <f>U68</f>
        <v>0</v>
      </c>
      <c r="V58" s="60">
        <f>V68</f>
        <v>0</v>
      </c>
    </row>
    <row r="59" spans="1:22" ht="71.400000000000006" x14ac:dyDescent="0.3">
      <c r="A59" s="61"/>
      <c r="B59" s="61"/>
      <c r="C59" s="61"/>
      <c r="D59" s="56" t="s">
        <v>80</v>
      </c>
      <c r="E59" s="57"/>
      <c r="F59" s="58"/>
      <c r="G59" s="58"/>
      <c r="H59" s="58"/>
      <c r="I59" s="58"/>
      <c r="J59" s="58"/>
      <c r="K59" s="58"/>
      <c r="L59" s="58"/>
      <c r="M59" s="62"/>
      <c r="N59" s="57"/>
      <c r="O59" s="58"/>
      <c r="P59" s="58"/>
      <c r="Q59" s="58"/>
      <c r="R59" s="58"/>
      <c r="S59" s="58"/>
      <c r="T59" s="58"/>
      <c r="U59" s="7"/>
      <c r="V59" s="62"/>
    </row>
    <row r="60" spans="1:22" x14ac:dyDescent="0.3">
      <c r="A60" s="61"/>
      <c r="B60" s="61"/>
      <c r="C60" s="61"/>
      <c r="D60" s="63"/>
      <c r="E60" s="64" t="s">
        <v>81</v>
      </c>
      <c r="F60" s="65">
        <v>2</v>
      </c>
      <c r="G60" s="66">
        <v>41.67</v>
      </c>
      <c r="H60" s="66">
        <v>0</v>
      </c>
      <c r="I60" s="66">
        <v>0.5</v>
      </c>
      <c r="J60" s="59">
        <f t="shared" ref="J60:J67" si="0">OR(F60&lt;&gt;0,G60&lt;&gt;0,H60&lt;&gt;0,I60&lt;&gt;0)*(F60 + (F60 = 0))*(G60 + (G60 = 0))*(H60 + (H60 = 0))*(I60 + (I60 = 0))</f>
        <v>41.67</v>
      </c>
      <c r="K60" s="58"/>
      <c r="L60" s="58"/>
      <c r="M60" s="62"/>
      <c r="N60" s="64" t="s">
        <v>81</v>
      </c>
      <c r="O60" s="65">
        <v>2</v>
      </c>
      <c r="P60" s="66">
        <v>41.67</v>
      </c>
      <c r="Q60" s="66">
        <v>0</v>
      </c>
      <c r="R60" s="66">
        <v>0.5</v>
      </c>
      <c r="S60" s="59">
        <f t="shared" ref="S60:S67" si="1">OR(O60&lt;&gt;0,P60&lt;&gt;0,Q60&lt;&gt;0,R60&lt;&gt;0)*(O60 + (O60 = 0))*(P60 + (P60 = 0))*(Q60 + (Q60 = 0))*(R60 + (R60 = 0))</f>
        <v>41.67</v>
      </c>
      <c r="T60" s="58"/>
      <c r="U60" s="7"/>
      <c r="V60" s="62"/>
    </row>
    <row r="61" spans="1:22" x14ac:dyDescent="0.3">
      <c r="A61" s="61"/>
      <c r="B61" s="61"/>
      <c r="C61" s="61"/>
      <c r="D61" s="63"/>
      <c r="E61" s="64" t="s">
        <v>82</v>
      </c>
      <c r="F61" s="65">
        <v>2</v>
      </c>
      <c r="G61" s="66">
        <v>0</v>
      </c>
      <c r="H61" s="66">
        <v>1</v>
      </c>
      <c r="I61" s="66">
        <v>0.5</v>
      </c>
      <c r="J61" s="59">
        <f t="shared" si="0"/>
        <v>1</v>
      </c>
      <c r="K61" s="58"/>
      <c r="L61" s="58"/>
      <c r="M61" s="62"/>
      <c r="N61" s="64" t="s">
        <v>82</v>
      </c>
      <c r="O61" s="65">
        <v>2</v>
      </c>
      <c r="P61" s="66">
        <v>0</v>
      </c>
      <c r="Q61" s="66">
        <v>1</v>
      </c>
      <c r="R61" s="66">
        <v>0.5</v>
      </c>
      <c r="S61" s="59">
        <f t="shared" si="1"/>
        <v>1</v>
      </c>
      <c r="T61" s="58"/>
      <c r="U61" s="7"/>
      <c r="V61" s="62"/>
    </row>
    <row r="62" spans="1:22" x14ac:dyDescent="0.3">
      <c r="A62" s="61"/>
      <c r="B62" s="61"/>
      <c r="C62" s="61"/>
      <c r="D62" s="63"/>
      <c r="E62" s="64" t="s">
        <v>83</v>
      </c>
      <c r="F62" s="65">
        <v>2</v>
      </c>
      <c r="G62" s="66">
        <v>20.82</v>
      </c>
      <c r="H62" s="66">
        <v>0</v>
      </c>
      <c r="I62" s="66">
        <v>0.5</v>
      </c>
      <c r="J62" s="59">
        <f t="shared" si="0"/>
        <v>20.82</v>
      </c>
      <c r="K62" s="58"/>
      <c r="L62" s="58"/>
      <c r="M62" s="62"/>
      <c r="N62" s="64" t="s">
        <v>83</v>
      </c>
      <c r="O62" s="65">
        <v>2</v>
      </c>
      <c r="P62" s="66">
        <v>20.82</v>
      </c>
      <c r="Q62" s="66">
        <v>0</v>
      </c>
      <c r="R62" s="66">
        <v>0.5</v>
      </c>
      <c r="S62" s="59">
        <f t="shared" si="1"/>
        <v>20.82</v>
      </c>
      <c r="T62" s="58"/>
      <c r="U62" s="7"/>
      <c r="V62" s="62"/>
    </row>
    <row r="63" spans="1:22" x14ac:dyDescent="0.3">
      <c r="A63" s="61"/>
      <c r="B63" s="61"/>
      <c r="C63" s="61"/>
      <c r="D63" s="63"/>
      <c r="E63" s="64" t="s">
        <v>84</v>
      </c>
      <c r="F63" s="65">
        <v>2</v>
      </c>
      <c r="G63" s="66">
        <v>0</v>
      </c>
      <c r="H63" s="66">
        <v>1</v>
      </c>
      <c r="I63" s="66">
        <v>0.5</v>
      </c>
      <c r="J63" s="59">
        <f t="shared" si="0"/>
        <v>1</v>
      </c>
      <c r="K63" s="58"/>
      <c r="L63" s="58"/>
      <c r="M63" s="62"/>
      <c r="N63" s="64" t="s">
        <v>84</v>
      </c>
      <c r="O63" s="65">
        <v>2</v>
      </c>
      <c r="P63" s="66">
        <v>0</v>
      </c>
      <c r="Q63" s="66">
        <v>1</v>
      </c>
      <c r="R63" s="66">
        <v>0.5</v>
      </c>
      <c r="S63" s="59">
        <f t="shared" si="1"/>
        <v>1</v>
      </c>
      <c r="T63" s="58"/>
      <c r="U63" s="7"/>
      <c r="V63" s="62"/>
    </row>
    <row r="64" spans="1:22" x14ac:dyDescent="0.3">
      <c r="A64" s="61"/>
      <c r="B64" s="61"/>
      <c r="C64" s="61"/>
      <c r="D64" s="63"/>
      <c r="E64" s="64" t="s">
        <v>85</v>
      </c>
      <c r="F64" s="65">
        <v>2</v>
      </c>
      <c r="G64" s="66">
        <v>0</v>
      </c>
      <c r="H64" s="66">
        <v>2.4</v>
      </c>
      <c r="I64" s="66">
        <v>0.5</v>
      </c>
      <c r="J64" s="59">
        <f t="shared" si="0"/>
        <v>2.4</v>
      </c>
      <c r="K64" s="58"/>
      <c r="L64" s="58"/>
      <c r="M64" s="62"/>
      <c r="N64" s="64" t="s">
        <v>85</v>
      </c>
      <c r="O64" s="65">
        <v>2</v>
      </c>
      <c r="P64" s="66">
        <v>0</v>
      </c>
      <c r="Q64" s="66">
        <v>2.4</v>
      </c>
      <c r="R64" s="66">
        <v>0.5</v>
      </c>
      <c r="S64" s="59">
        <f t="shared" si="1"/>
        <v>2.4</v>
      </c>
      <c r="T64" s="58"/>
      <c r="U64" s="7"/>
      <c r="V64" s="62"/>
    </row>
    <row r="65" spans="1:22" x14ac:dyDescent="0.3">
      <c r="A65" s="61"/>
      <c r="B65" s="61"/>
      <c r="C65" s="61"/>
      <c r="D65" s="63"/>
      <c r="E65" s="64" t="s">
        <v>86</v>
      </c>
      <c r="F65" s="65">
        <v>2</v>
      </c>
      <c r="G65" s="66">
        <v>0</v>
      </c>
      <c r="H65" s="66">
        <v>1.7</v>
      </c>
      <c r="I65" s="66">
        <v>0.5</v>
      </c>
      <c r="J65" s="59">
        <f t="shared" si="0"/>
        <v>1.7</v>
      </c>
      <c r="K65" s="58"/>
      <c r="L65" s="58"/>
      <c r="M65" s="62"/>
      <c r="N65" s="64" t="s">
        <v>86</v>
      </c>
      <c r="O65" s="65">
        <v>2</v>
      </c>
      <c r="P65" s="66">
        <v>0</v>
      </c>
      <c r="Q65" s="66">
        <v>1.7</v>
      </c>
      <c r="R65" s="66">
        <v>0.5</v>
      </c>
      <c r="S65" s="59">
        <f t="shared" si="1"/>
        <v>1.7</v>
      </c>
      <c r="T65" s="58"/>
      <c r="U65" s="7"/>
      <c r="V65" s="62"/>
    </row>
    <row r="66" spans="1:22" x14ac:dyDescent="0.3">
      <c r="A66" s="61"/>
      <c r="B66" s="61"/>
      <c r="C66" s="61"/>
      <c r="D66" s="63"/>
      <c r="E66" s="64" t="s">
        <v>87</v>
      </c>
      <c r="F66" s="65">
        <v>4</v>
      </c>
      <c r="G66" s="66">
        <v>0</v>
      </c>
      <c r="H66" s="66">
        <v>1.8</v>
      </c>
      <c r="I66" s="66">
        <v>0.5</v>
      </c>
      <c r="J66" s="59">
        <f t="shared" si="0"/>
        <v>3.6</v>
      </c>
      <c r="K66" s="58"/>
      <c r="L66" s="58"/>
      <c r="M66" s="62"/>
      <c r="N66" s="64" t="s">
        <v>87</v>
      </c>
      <c r="O66" s="65">
        <v>4</v>
      </c>
      <c r="P66" s="66">
        <v>0</v>
      </c>
      <c r="Q66" s="66">
        <v>1.8</v>
      </c>
      <c r="R66" s="66">
        <v>0.5</v>
      </c>
      <c r="S66" s="59">
        <f t="shared" si="1"/>
        <v>3.6</v>
      </c>
      <c r="T66" s="58"/>
      <c r="U66" s="7"/>
      <c r="V66" s="62"/>
    </row>
    <row r="67" spans="1:22" x14ac:dyDescent="0.3">
      <c r="A67" s="61"/>
      <c r="B67" s="61"/>
      <c r="C67" s="61"/>
      <c r="D67" s="63"/>
      <c r="E67" s="64" t="s">
        <v>88</v>
      </c>
      <c r="F67" s="65">
        <v>4</v>
      </c>
      <c r="G67" s="66">
        <v>0</v>
      </c>
      <c r="H67" s="66">
        <v>1.3</v>
      </c>
      <c r="I67" s="66">
        <v>0.5</v>
      </c>
      <c r="J67" s="59">
        <f t="shared" si="0"/>
        <v>2.6</v>
      </c>
      <c r="K67" s="58"/>
      <c r="L67" s="58"/>
      <c r="M67" s="62"/>
      <c r="N67" s="64" t="s">
        <v>88</v>
      </c>
      <c r="O67" s="65">
        <v>4</v>
      </c>
      <c r="P67" s="66">
        <v>0</v>
      </c>
      <c r="Q67" s="66">
        <v>1.3</v>
      </c>
      <c r="R67" s="66">
        <v>0.5</v>
      </c>
      <c r="S67" s="59">
        <f t="shared" si="1"/>
        <v>2.6</v>
      </c>
      <c r="T67" s="58"/>
      <c r="U67" s="7"/>
      <c r="V67" s="62"/>
    </row>
    <row r="68" spans="1:22" x14ac:dyDescent="0.3">
      <c r="A68" s="61"/>
      <c r="B68" s="61"/>
      <c r="C68" s="61"/>
      <c r="D68" s="63"/>
      <c r="E68" s="57"/>
      <c r="F68" s="58"/>
      <c r="G68" s="58"/>
      <c r="H68" s="58"/>
      <c r="I68" s="58"/>
      <c r="J68" s="67" t="s">
        <v>89</v>
      </c>
      <c r="K68" s="68">
        <f>SUM(J60:J67)*1</f>
        <v>74.790000000000006</v>
      </c>
      <c r="L68" s="66">
        <f>15.79*1.06</f>
        <v>16.739999999999998</v>
      </c>
      <c r="M68" s="69">
        <f>ROUND(K68*L68,2)</f>
        <v>1251.98</v>
      </c>
      <c r="N68" s="57"/>
      <c r="O68" s="58"/>
      <c r="P68" s="58"/>
      <c r="Q68" s="58"/>
      <c r="R68" s="58"/>
      <c r="S68" s="67" t="s">
        <v>89</v>
      </c>
      <c r="T68" s="68">
        <f>SUM(S60:S67)*1</f>
        <v>74.790000000000006</v>
      </c>
      <c r="U68" s="9">
        <v>0</v>
      </c>
      <c r="V68" s="69">
        <f>ROUND(T68*U68,2)</f>
        <v>0</v>
      </c>
    </row>
    <row r="69" spans="1:22" ht="1.2" customHeight="1" x14ac:dyDescent="0.3">
      <c r="A69" s="70"/>
      <c r="B69" s="70"/>
      <c r="C69" s="70"/>
      <c r="D69" s="71"/>
      <c r="E69" s="72"/>
      <c r="F69" s="73"/>
      <c r="G69" s="73"/>
      <c r="H69" s="73"/>
      <c r="I69" s="73"/>
      <c r="J69" s="73"/>
      <c r="K69" s="73"/>
      <c r="L69" s="73"/>
      <c r="M69" s="74"/>
      <c r="N69" s="72"/>
      <c r="O69" s="73"/>
      <c r="P69" s="73"/>
      <c r="Q69" s="73"/>
      <c r="R69" s="73"/>
      <c r="S69" s="73"/>
      <c r="T69" s="73"/>
      <c r="U69" s="11"/>
      <c r="V69" s="74"/>
    </row>
    <row r="70" spans="1:22" x14ac:dyDescent="0.3">
      <c r="A70" s="61"/>
      <c r="B70" s="61"/>
      <c r="C70" s="61"/>
      <c r="D70" s="63"/>
      <c r="E70" s="57"/>
      <c r="F70" s="58"/>
      <c r="G70" s="58"/>
      <c r="H70" s="58"/>
      <c r="I70" s="58"/>
      <c r="J70" s="67" t="s">
        <v>90</v>
      </c>
      <c r="K70" s="66">
        <v>1</v>
      </c>
      <c r="L70" s="68">
        <f>M58</f>
        <v>1251.98</v>
      </c>
      <c r="M70" s="69">
        <f>ROUND(K70*L70,2)</f>
        <v>1251.98</v>
      </c>
      <c r="N70" s="57"/>
      <c r="O70" s="58"/>
      <c r="P70" s="58"/>
      <c r="Q70" s="58"/>
      <c r="R70" s="58"/>
      <c r="S70" s="67" t="s">
        <v>90</v>
      </c>
      <c r="T70" s="66">
        <v>1</v>
      </c>
      <c r="U70" s="10">
        <f>V58</f>
        <v>0</v>
      </c>
      <c r="V70" s="69">
        <f>ROUND(T70*U70,2)</f>
        <v>0</v>
      </c>
    </row>
    <row r="71" spans="1:22" ht="1.2" customHeight="1" x14ac:dyDescent="0.3">
      <c r="A71" s="70"/>
      <c r="B71" s="70"/>
      <c r="C71" s="70"/>
      <c r="D71" s="71"/>
      <c r="E71" s="72"/>
      <c r="F71" s="73"/>
      <c r="G71" s="73"/>
      <c r="H71" s="73"/>
      <c r="I71" s="73"/>
      <c r="J71" s="73"/>
      <c r="K71" s="73"/>
      <c r="L71" s="73"/>
      <c r="M71" s="74"/>
      <c r="N71" s="72"/>
      <c r="O71" s="73"/>
      <c r="P71" s="73"/>
      <c r="Q71" s="73"/>
      <c r="R71" s="73"/>
      <c r="S71" s="73"/>
      <c r="T71" s="73"/>
      <c r="U71" s="11"/>
      <c r="V71" s="74"/>
    </row>
    <row r="72" spans="1:22" x14ac:dyDescent="0.3">
      <c r="A72" s="75" t="s">
        <v>91</v>
      </c>
      <c r="B72" s="75" t="s">
        <v>16</v>
      </c>
      <c r="C72" s="75" t="s">
        <v>17</v>
      </c>
      <c r="D72" s="76" t="s">
        <v>92</v>
      </c>
      <c r="E72" s="77"/>
      <c r="F72" s="78"/>
      <c r="G72" s="78"/>
      <c r="H72" s="78"/>
      <c r="I72" s="78"/>
      <c r="J72" s="78"/>
      <c r="K72" s="79">
        <f>K79</f>
        <v>1</v>
      </c>
      <c r="L72" s="79">
        <f>L79</f>
        <v>1361.97</v>
      </c>
      <c r="M72" s="80">
        <f>M79</f>
        <v>1361.97</v>
      </c>
      <c r="N72" s="77"/>
      <c r="O72" s="78"/>
      <c r="P72" s="78"/>
      <c r="Q72" s="78"/>
      <c r="R72" s="78"/>
      <c r="S72" s="78"/>
      <c r="T72" s="79">
        <f>T79</f>
        <v>1</v>
      </c>
      <c r="U72" s="12">
        <f>U79</f>
        <v>0</v>
      </c>
      <c r="V72" s="80">
        <f>V79</f>
        <v>0</v>
      </c>
    </row>
    <row r="73" spans="1:22" x14ac:dyDescent="0.3">
      <c r="A73" s="54" t="s">
        <v>93</v>
      </c>
      <c r="B73" s="55" t="s">
        <v>32</v>
      </c>
      <c r="C73" s="55" t="s">
        <v>44</v>
      </c>
      <c r="D73" s="56" t="s">
        <v>94</v>
      </c>
      <c r="E73" s="57"/>
      <c r="F73" s="58"/>
      <c r="G73" s="58"/>
      <c r="H73" s="58"/>
      <c r="I73" s="58"/>
      <c r="J73" s="58"/>
      <c r="K73" s="59">
        <f>K77</f>
        <v>80.209999999999994</v>
      </c>
      <c r="L73" s="59">
        <f>L77</f>
        <v>16.98</v>
      </c>
      <c r="M73" s="60">
        <f>M77</f>
        <v>1361.97</v>
      </c>
      <c r="N73" s="57"/>
      <c r="O73" s="58"/>
      <c r="P73" s="58"/>
      <c r="Q73" s="58"/>
      <c r="R73" s="58"/>
      <c r="S73" s="58"/>
      <c r="T73" s="59">
        <f>T77</f>
        <v>80.209999999999994</v>
      </c>
      <c r="U73" s="8">
        <f>U77</f>
        <v>0</v>
      </c>
      <c r="V73" s="60">
        <f>V77</f>
        <v>0</v>
      </c>
    </row>
    <row r="74" spans="1:22" ht="71.400000000000006" x14ac:dyDescent="0.3">
      <c r="A74" s="61"/>
      <c r="B74" s="61"/>
      <c r="C74" s="61"/>
      <c r="D74" s="56" t="s">
        <v>95</v>
      </c>
      <c r="E74" s="57"/>
      <c r="F74" s="58"/>
      <c r="G74" s="58"/>
      <c r="H74" s="58"/>
      <c r="I74" s="58"/>
      <c r="J74" s="58"/>
      <c r="K74" s="58"/>
      <c r="L74" s="58"/>
      <c r="M74" s="62"/>
      <c r="N74" s="57"/>
      <c r="O74" s="58"/>
      <c r="P74" s="58"/>
      <c r="Q74" s="58"/>
      <c r="R74" s="58"/>
      <c r="S74" s="58"/>
      <c r="T74" s="58"/>
      <c r="U74" s="7"/>
      <c r="V74" s="62"/>
    </row>
    <row r="75" spans="1:22" x14ac:dyDescent="0.3">
      <c r="A75" s="61"/>
      <c r="B75" s="61"/>
      <c r="C75" s="61"/>
      <c r="D75" s="63"/>
      <c r="E75" s="64" t="s">
        <v>96</v>
      </c>
      <c r="F75" s="65">
        <v>1</v>
      </c>
      <c r="G75" s="66">
        <v>41.67</v>
      </c>
      <c r="H75" s="66">
        <v>0</v>
      </c>
      <c r="I75" s="66">
        <v>1.55</v>
      </c>
      <c r="J75" s="59">
        <f>OR(F75&lt;&gt;0,G75&lt;&gt;0,H75&lt;&gt;0,I75&lt;&gt;0)*(F75 + (F75 = 0))*(G75 + (G75 = 0))*(H75 + (H75 = 0))*(I75 + (I75 = 0))</f>
        <v>64.59</v>
      </c>
      <c r="K75" s="58"/>
      <c r="L75" s="58"/>
      <c r="M75" s="62"/>
      <c r="N75" s="64" t="s">
        <v>96</v>
      </c>
      <c r="O75" s="65">
        <v>1</v>
      </c>
      <c r="P75" s="66">
        <v>41.67</v>
      </c>
      <c r="Q75" s="66">
        <v>0</v>
      </c>
      <c r="R75" s="66">
        <v>1.55</v>
      </c>
      <c r="S75" s="59">
        <f>OR(O75&lt;&gt;0,P75&lt;&gt;0,Q75&lt;&gt;0,R75&lt;&gt;0)*(O75 + (O75 = 0))*(P75 + (P75 = 0))*(Q75 + (Q75 = 0))*(R75 + (R75 = 0))</f>
        <v>64.59</v>
      </c>
      <c r="T75" s="58"/>
      <c r="U75" s="7"/>
      <c r="V75" s="62"/>
    </row>
    <row r="76" spans="1:22" x14ac:dyDescent="0.3">
      <c r="A76" s="61"/>
      <c r="B76" s="61"/>
      <c r="C76" s="61"/>
      <c r="D76" s="63"/>
      <c r="E76" s="64" t="s">
        <v>97</v>
      </c>
      <c r="F76" s="65">
        <v>1</v>
      </c>
      <c r="G76" s="66">
        <v>20.82</v>
      </c>
      <c r="H76" s="66">
        <v>0</v>
      </c>
      <c r="I76" s="66">
        <v>0.75</v>
      </c>
      <c r="J76" s="59">
        <f>OR(F76&lt;&gt;0,G76&lt;&gt;0,H76&lt;&gt;0,I76&lt;&gt;0)*(F76 + (F76 = 0))*(G76 + (G76 = 0))*(H76 + (H76 = 0))*(I76 + (I76 = 0))</f>
        <v>15.62</v>
      </c>
      <c r="K76" s="58"/>
      <c r="L76" s="58"/>
      <c r="M76" s="62"/>
      <c r="N76" s="64" t="s">
        <v>97</v>
      </c>
      <c r="O76" s="65">
        <v>1</v>
      </c>
      <c r="P76" s="66">
        <v>20.82</v>
      </c>
      <c r="Q76" s="66">
        <v>0</v>
      </c>
      <c r="R76" s="66">
        <v>0.75</v>
      </c>
      <c r="S76" s="59">
        <f>OR(O76&lt;&gt;0,P76&lt;&gt;0,Q76&lt;&gt;0,R76&lt;&gt;0)*(O76 + (O76 = 0))*(P76 + (P76 = 0))*(Q76 + (Q76 = 0))*(R76 + (R76 = 0))</f>
        <v>15.62</v>
      </c>
      <c r="T76" s="58"/>
      <c r="U76" s="7"/>
      <c r="V76" s="62"/>
    </row>
    <row r="77" spans="1:22" x14ac:dyDescent="0.3">
      <c r="A77" s="61"/>
      <c r="B77" s="61"/>
      <c r="C77" s="61"/>
      <c r="D77" s="63"/>
      <c r="E77" s="57"/>
      <c r="F77" s="58"/>
      <c r="G77" s="58"/>
      <c r="H77" s="58"/>
      <c r="I77" s="58"/>
      <c r="J77" s="67" t="s">
        <v>98</v>
      </c>
      <c r="K77" s="68">
        <f>SUM(J75:J76)*1</f>
        <v>80.209999999999994</v>
      </c>
      <c r="L77" s="66">
        <f>16.02*1.06</f>
        <v>16.98</v>
      </c>
      <c r="M77" s="69">
        <f>ROUND(K77*L77,2)</f>
        <v>1361.97</v>
      </c>
      <c r="N77" s="57"/>
      <c r="O77" s="58"/>
      <c r="P77" s="58"/>
      <c r="Q77" s="58"/>
      <c r="R77" s="58"/>
      <c r="S77" s="67" t="s">
        <v>98</v>
      </c>
      <c r="T77" s="68">
        <f>SUM(S75:S76)*1</f>
        <v>80.209999999999994</v>
      </c>
      <c r="U77" s="9">
        <v>0</v>
      </c>
      <c r="V77" s="69">
        <f>ROUND(T77*U77,2)</f>
        <v>0</v>
      </c>
    </row>
    <row r="78" spans="1:22" ht="1.2" customHeight="1" x14ac:dyDescent="0.3">
      <c r="A78" s="70"/>
      <c r="B78" s="70"/>
      <c r="C78" s="70"/>
      <c r="D78" s="71"/>
      <c r="E78" s="72"/>
      <c r="F78" s="73"/>
      <c r="G78" s="73"/>
      <c r="H78" s="73"/>
      <c r="I78" s="73"/>
      <c r="J78" s="73"/>
      <c r="K78" s="73"/>
      <c r="L78" s="73"/>
      <c r="M78" s="74"/>
      <c r="N78" s="72"/>
      <c r="O78" s="73"/>
      <c r="P78" s="73"/>
      <c r="Q78" s="73"/>
      <c r="R78" s="73"/>
      <c r="S78" s="73"/>
      <c r="T78" s="73"/>
      <c r="U78" s="11"/>
      <c r="V78" s="74"/>
    </row>
    <row r="79" spans="1:22" x14ac:dyDescent="0.3">
      <c r="A79" s="61"/>
      <c r="B79" s="61"/>
      <c r="C79" s="61"/>
      <c r="D79" s="63"/>
      <c r="E79" s="57"/>
      <c r="F79" s="58"/>
      <c r="G79" s="58"/>
      <c r="H79" s="58"/>
      <c r="I79" s="58"/>
      <c r="J79" s="67" t="s">
        <v>99</v>
      </c>
      <c r="K79" s="66">
        <v>1</v>
      </c>
      <c r="L79" s="68">
        <f>M73</f>
        <v>1361.97</v>
      </c>
      <c r="M79" s="69">
        <f>ROUND(K79*L79,2)</f>
        <v>1361.97</v>
      </c>
      <c r="N79" s="57"/>
      <c r="O79" s="58"/>
      <c r="P79" s="58"/>
      <c r="Q79" s="58"/>
      <c r="R79" s="58"/>
      <c r="S79" s="67" t="s">
        <v>99</v>
      </c>
      <c r="T79" s="66">
        <v>1</v>
      </c>
      <c r="U79" s="10">
        <f>V73</f>
        <v>0</v>
      </c>
      <c r="V79" s="69">
        <f>ROUND(T79*U79,2)</f>
        <v>0</v>
      </c>
    </row>
    <row r="80" spans="1:22" ht="1.2" customHeight="1" x14ac:dyDescent="0.3">
      <c r="A80" s="70"/>
      <c r="B80" s="70"/>
      <c r="C80" s="70"/>
      <c r="D80" s="71"/>
      <c r="E80" s="72"/>
      <c r="F80" s="73"/>
      <c r="G80" s="73"/>
      <c r="H80" s="73"/>
      <c r="I80" s="73"/>
      <c r="J80" s="73"/>
      <c r="K80" s="73"/>
      <c r="L80" s="73"/>
      <c r="M80" s="74"/>
      <c r="N80" s="72"/>
      <c r="O80" s="73"/>
      <c r="P80" s="73"/>
      <c r="Q80" s="73"/>
      <c r="R80" s="73"/>
      <c r="S80" s="73"/>
      <c r="T80" s="73"/>
      <c r="U80" s="11"/>
      <c r="V80" s="74"/>
    </row>
    <row r="81" spans="1:22" x14ac:dyDescent="0.3">
      <c r="A81" s="75" t="s">
        <v>100</v>
      </c>
      <c r="B81" s="75" t="s">
        <v>16</v>
      </c>
      <c r="C81" s="75" t="s">
        <v>17</v>
      </c>
      <c r="D81" s="76" t="s">
        <v>101</v>
      </c>
      <c r="E81" s="77"/>
      <c r="F81" s="78"/>
      <c r="G81" s="78"/>
      <c r="H81" s="78"/>
      <c r="I81" s="78"/>
      <c r="J81" s="78"/>
      <c r="K81" s="79">
        <f>K88</f>
        <v>1</v>
      </c>
      <c r="L81" s="79">
        <f>L88</f>
        <v>565.57000000000005</v>
      </c>
      <c r="M81" s="80">
        <f>M88</f>
        <v>565.57000000000005</v>
      </c>
      <c r="N81" s="77"/>
      <c r="O81" s="78"/>
      <c r="P81" s="78"/>
      <c r="Q81" s="78"/>
      <c r="R81" s="78"/>
      <c r="S81" s="78"/>
      <c r="T81" s="79">
        <f>T88</f>
        <v>1</v>
      </c>
      <c r="U81" s="12">
        <f>U88</f>
        <v>0</v>
      </c>
      <c r="V81" s="80">
        <f>V88</f>
        <v>0</v>
      </c>
    </row>
    <row r="82" spans="1:22" x14ac:dyDescent="0.3">
      <c r="A82" s="54" t="s">
        <v>102</v>
      </c>
      <c r="B82" s="55" t="s">
        <v>32</v>
      </c>
      <c r="C82" s="55" t="s">
        <v>44</v>
      </c>
      <c r="D82" s="56" t="s">
        <v>103</v>
      </c>
      <c r="E82" s="57"/>
      <c r="F82" s="58"/>
      <c r="G82" s="58"/>
      <c r="H82" s="58"/>
      <c r="I82" s="58"/>
      <c r="J82" s="58"/>
      <c r="K82" s="59">
        <f>K86</f>
        <v>20.440000000000001</v>
      </c>
      <c r="L82" s="59">
        <f>L86</f>
        <v>27.67</v>
      </c>
      <c r="M82" s="60">
        <f>M86</f>
        <v>565.57000000000005</v>
      </c>
      <c r="N82" s="57"/>
      <c r="O82" s="58"/>
      <c r="P82" s="58"/>
      <c r="Q82" s="58"/>
      <c r="R82" s="58"/>
      <c r="S82" s="58"/>
      <c r="T82" s="59">
        <f>T86</f>
        <v>20.440000000000001</v>
      </c>
      <c r="U82" s="8">
        <f>U86</f>
        <v>0</v>
      </c>
      <c r="V82" s="60">
        <f>V86</f>
        <v>0</v>
      </c>
    </row>
    <row r="83" spans="1:22" ht="51" x14ac:dyDescent="0.3">
      <c r="A83" s="61"/>
      <c r="B83" s="61"/>
      <c r="C83" s="61"/>
      <c r="D83" s="56" t="s">
        <v>104</v>
      </c>
      <c r="E83" s="57"/>
      <c r="F83" s="58"/>
      <c r="G83" s="58"/>
      <c r="H83" s="58"/>
      <c r="I83" s="58"/>
      <c r="J83" s="58"/>
      <c r="K83" s="58"/>
      <c r="L83" s="58"/>
      <c r="M83" s="62"/>
      <c r="N83" s="57"/>
      <c r="O83" s="58"/>
      <c r="P83" s="58"/>
      <c r="Q83" s="58"/>
      <c r="R83" s="58"/>
      <c r="S83" s="58"/>
      <c r="T83" s="58"/>
      <c r="U83" s="7"/>
      <c r="V83" s="62"/>
    </row>
    <row r="84" spans="1:22" x14ac:dyDescent="0.3">
      <c r="A84" s="61"/>
      <c r="B84" s="61"/>
      <c r="C84" s="61"/>
      <c r="D84" s="63"/>
      <c r="E84" s="64" t="s">
        <v>105</v>
      </c>
      <c r="F84" s="65">
        <v>1</v>
      </c>
      <c r="G84" s="66">
        <v>13.5</v>
      </c>
      <c r="H84" s="66">
        <v>0</v>
      </c>
      <c r="I84" s="66">
        <v>1.23</v>
      </c>
      <c r="J84" s="59">
        <f>OR(F84&lt;&gt;0,G84&lt;&gt;0,H84&lt;&gt;0,I84&lt;&gt;0)*(F84 + (F84 = 0))*(G84 + (G84 = 0))*(H84 + (H84 = 0))*(I84 + (I84 = 0))</f>
        <v>16.61</v>
      </c>
      <c r="K84" s="58"/>
      <c r="L84" s="58"/>
      <c r="M84" s="62"/>
      <c r="N84" s="64" t="s">
        <v>105</v>
      </c>
      <c r="O84" s="65">
        <v>1</v>
      </c>
      <c r="P84" s="66">
        <v>13.5</v>
      </c>
      <c r="Q84" s="66">
        <v>0</v>
      </c>
      <c r="R84" s="66">
        <v>1.23</v>
      </c>
      <c r="S84" s="59">
        <f>OR(O84&lt;&gt;0,P84&lt;&gt;0,Q84&lt;&gt;0,R84&lt;&gt;0)*(O84 + (O84 = 0))*(P84 + (P84 = 0))*(Q84 + (Q84 = 0))*(R84 + (R84 = 0))</f>
        <v>16.61</v>
      </c>
      <c r="T84" s="58"/>
      <c r="U84" s="7"/>
      <c r="V84" s="62"/>
    </row>
    <row r="85" spans="1:22" x14ac:dyDescent="0.3">
      <c r="A85" s="61"/>
      <c r="B85" s="61"/>
      <c r="C85" s="61"/>
      <c r="D85" s="63"/>
      <c r="E85" s="64" t="s">
        <v>106</v>
      </c>
      <c r="F85" s="65">
        <v>1</v>
      </c>
      <c r="G85" s="66">
        <v>4.5</v>
      </c>
      <c r="H85" s="66">
        <v>0</v>
      </c>
      <c r="I85" s="66">
        <v>0.85</v>
      </c>
      <c r="J85" s="59">
        <f>OR(F85&lt;&gt;0,G85&lt;&gt;0,H85&lt;&gt;0,I85&lt;&gt;0)*(F85 + (F85 = 0))*(G85 + (G85 = 0))*(H85 + (H85 = 0))*(I85 + (I85 = 0))</f>
        <v>3.83</v>
      </c>
      <c r="K85" s="58"/>
      <c r="L85" s="58"/>
      <c r="M85" s="62"/>
      <c r="N85" s="64" t="s">
        <v>106</v>
      </c>
      <c r="O85" s="65">
        <v>1</v>
      </c>
      <c r="P85" s="66">
        <v>4.5</v>
      </c>
      <c r="Q85" s="66">
        <v>0</v>
      </c>
      <c r="R85" s="66">
        <v>0.85</v>
      </c>
      <c r="S85" s="59">
        <f>OR(O85&lt;&gt;0,P85&lt;&gt;0,Q85&lt;&gt;0,R85&lt;&gt;0)*(O85 + (O85 = 0))*(P85 + (P85 = 0))*(Q85 + (Q85 = 0))*(R85 + (R85 = 0))</f>
        <v>3.83</v>
      </c>
      <c r="T85" s="58"/>
      <c r="U85" s="7"/>
      <c r="V85" s="62"/>
    </row>
    <row r="86" spans="1:22" x14ac:dyDescent="0.3">
      <c r="A86" s="61"/>
      <c r="B86" s="61"/>
      <c r="C86" s="61"/>
      <c r="D86" s="63"/>
      <c r="E86" s="57"/>
      <c r="F86" s="58"/>
      <c r="G86" s="58"/>
      <c r="H86" s="58"/>
      <c r="I86" s="58"/>
      <c r="J86" s="67" t="s">
        <v>107</v>
      </c>
      <c r="K86" s="68">
        <f>SUM(J84:J85)*1</f>
        <v>20.440000000000001</v>
      </c>
      <c r="L86" s="66">
        <f>26.1*1.06</f>
        <v>27.67</v>
      </c>
      <c r="M86" s="69">
        <f>ROUND(K86*L86,2)</f>
        <v>565.57000000000005</v>
      </c>
      <c r="N86" s="57"/>
      <c r="O86" s="58"/>
      <c r="P86" s="58"/>
      <c r="Q86" s="58"/>
      <c r="R86" s="58"/>
      <c r="S86" s="67" t="s">
        <v>107</v>
      </c>
      <c r="T86" s="68">
        <f>SUM(S84:S85)*1</f>
        <v>20.440000000000001</v>
      </c>
      <c r="U86" s="9">
        <v>0</v>
      </c>
      <c r="V86" s="69">
        <f>ROUND(T86*U86,2)</f>
        <v>0</v>
      </c>
    </row>
    <row r="87" spans="1:22" ht="1.2" customHeight="1" x14ac:dyDescent="0.3">
      <c r="A87" s="70"/>
      <c r="B87" s="70"/>
      <c r="C87" s="70"/>
      <c r="D87" s="71"/>
      <c r="E87" s="72"/>
      <c r="F87" s="73"/>
      <c r="G87" s="73"/>
      <c r="H87" s="73"/>
      <c r="I87" s="73"/>
      <c r="J87" s="73"/>
      <c r="K87" s="73"/>
      <c r="L87" s="73"/>
      <c r="M87" s="74"/>
      <c r="N87" s="72"/>
      <c r="O87" s="73"/>
      <c r="P87" s="73"/>
      <c r="Q87" s="73"/>
      <c r="R87" s="73"/>
      <c r="S87" s="73"/>
      <c r="T87" s="73"/>
      <c r="U87" s="11"/>
      <c r="V87" s="74"/>
    </row>
    <row r="88" spans="1:22" x14ac:dyDescent="0.3">
      <c r="A88" s="61"/>
      <c r="B88" s="61"/>
      <c r="C88" s="61"/>
      <c r="D88" s="63"/>
      <c r="E88" s="57"/>
      <c r="F88" s="58"/>
      <c r="G88" s="58"/>
      <c r="H88" s="58"/>
      <c r="I88" s="58"/>
      <c r="J88" s="67" t="s">
        <v>108</v>
      </c>
      <c r="K88" s="66">
        <v>1</v>
      </c>
      <c r="L88" s="68">
        <f>M82</f>
        <v>565.57000000000005</v>
      </c>
      <c r="M88" s="69">
        <f>ROUND(K88*L88,2)</f>
        <v>565.57000000000005</v>
      </c>
      <c r="N88" s="57"/>
      <c r="O88" s="58"/>
      <c r="P88" s="58"/>
      <c r="Q88" s="58"/>
      <c r="R88" s="58"/>
      <c r="S88" s="67" t="s">
        <v>108</v>
      </c>
      <c r="T88" s="66">
        <v>1</v>
      </c>
      <c r="U88" s="10">
        <f>V82</f>
        <v>0</v>
      </c>
      <c r="V88" s="69">
        <f>ROUND(T88*U88,2)</f>
        <v>0</v>
      </c>
    </row>
    <row r="89" spans="1:22" ht="1.2" customHeight="1" x14ac:dyDescent="0.3">
      <c r="A89" s="70"/>
      <c r="B89" s="70"/>
      <c r="C89" s="70"/>
      <c r="D89" s="71"/>
      <c r="E89" s="72"/>
      <c r="F89" s="73"/>
      <c r="G89" s="73"/>
      <c r="H89" s="73"/>
      <c r="I89" s="73"/>
      <c r="J89" s="73"/>
      <c r="K89" s="73"/>
      <c r="L89" s="73"/>
      <c r="M89" s="74"/>
      <c r="N89" s="72"/>
      <c r="O89" s="73"/>
      <c r="P89" s="73"/>
      <c r="Q89" s="73"/>
      <c r="R89" s="73"/>
      <c r="S89" s="73"/>
      <c r="T89" s="73"/>
      <c r="U89" s="11"/>
      <c r="V89" s="74"/>
    </row>
    <row r="90" spans="1:22" x14ac:dyDescent="0.3">
      <c r="A90" s="61"/>
      <c r="B90" s="61"/>
      <c r="C90" s="61"/>
      <c r="D90" s="63"/>
      <c r="E90" s="57"/>
      <c r="F90" s="58"/>
      <c r="G90" s="58"/>
      <c r="H90" s="58"/>
      <c r="I90" s="58"/>
      <c r="J90" s="67" t="s">
        <v>109</v>
      </c>
      <c r="K90" s="66">
        <v>1</v>
      </c>
      <c r="L90" s="68">
        <f>M57+M72+M81</f>
        <v>3179.52</v>
      </c>
      <c r="M90" s="69">
        <f>ROUND(K90*L90,2)</f>
        <v>3179.52</v>
      </c>
      <c r="N90" s="57"/>
      <c r="O90" s="58"/>
      <c r="P90" s="58"/>
      <c r="Q90" s="58"/>
      <c r="R90" s="58"/>
      <c r="S90" s="67" t="s">
        <v>109</v>
      </c>
      <c r="T90" s="66">
        <v>1</v>
      </c>
      <c r="U90" s="10">
        <f>V57+V72+V81</f>
        <v>0</v>
      </c>
      <c r="V90" s="69">
        <f>ROUND(T90*U90,2)</f>
        <v>0</v>
      </c>
    </row>
    <row r="91" spans="1:22" ht="1.2" customHeight="1" x14ac:dyDescent="0.3">
      <c r="A91" s="70"/>
      <c r="B91" s="70"/>
      <c r="C91" s="70"/>
      <c r="D91" s="71"/>
      <c r="E91" s="72"/>
      <c r="F91" s="73"/>
      <c r="G91" s="73"/>
      <c r="H91" s="73"/>
      <c r="I91" s="73"/>
      <c r="J91" s="73"/>
      <c r="K91" s="73"/>
      <c r="L91" s="73"/>
      <c r="M91" s="74"/>
      <c r="N91" s="72"/>
      <c r="O91" s="73"/>
      <c r="P91" s="73"/>
      <c r="Q91" s="73"/>
      <c r="R91" s="73"/>
      <c r="S91" s="73"/>
      <c r="T91" s="73"/>
      <c r="U91" s="11"/>
      <c r="V91" s="74"/>
    </row>
    <row r="92" spans="1:22" x14ac:dyDescent="0.3">
      <c r="A92" s="48" t="s">
        <v>110</v>
      </c>
      <c r="B92" s="48" t="s">
        <v>16</v>
      </c>
      <c r="C92" s="48" t="s">
        <v>17</v>
      </c>
      <c r="D92" s="49" t="s">
        <v>111</v>
      </c>
      <c r="E92" s="50"/>
      <c r="F92" s="51"/>
      <c r="G92" s="51"/>
      <c r="H92" s="51"/>
      <c r="I92" s="51"/>
      <c r="J92" s="51"/>
      <c r="K92" s="52">
        <f>K139</f>
        <v>1</v>
      </c>
      <c r="L92" s="52">
        <f>L139</f>
        <v>14604.49</v>
      </c>
      <c r="M92" s="53">
        <f>M139</f>
        <v>14604.49</v>
      </c>
      <c r="N92" s="50"/>
      <c r="O92" s="51"/>
      <c r="P92" s="51"/>
      <c r="Q92" s="51"/>
      <c r="R92" s="51"/>
      <c r="S92" s="51"/>
      <c r="T92" s="52">
        <f>T139</f>
        <v>1</v>
      </c>
      <c r="U92" s="6">
        <f>U139</f>
        <v>0</v>
      </c>
      <c r="V92" s="53">
        <f>V139</f>
        <v>0</v>
      </c>
    </row>
    <row r="93" spans="1:22" x14ac:dyDescent="0.3">
      <c r="A93" s="75" t="s">
        <v>112</v>
      </c>
      <c r="B93" s="75" t="s">
        <v>16</v>
      </c>
      <c r="C93" s="75" t="s">
        <v>17</v>
      </c>
      <c r="D93" s="76" t="s">
        <v>92</v>
      </c>
      <c r="E93" s="77"/>
      <c r="F93" s="78"/>
      <c r="G93" s="78"/>
      <c r="H93" s="78"/>
      <c r="I93" s="78"/>
      <c r="J93" s="78"/>
      <c r="K93" s="79">
        <f>K100</f>
        <v>1</v>
      </c>
      <c r="L93" s="79">
        <f>L100</f>
        <v>2444.9</v>
      </c>
      <c r="M93" s="80">
        <f>M100</f>
        <v>2444.9</v>
      </c>
      <c r="N93" s="77"/>
      <c r="O93" s="78"/>
      <c r="P93" s="78"/>
      <c r="Q93" s="78"/>
      <c r="R93" s="78"/>
      <c r="S93" s="78"/>
      <c r="T93" s="79">
        <f>T100</f>
        <v>1</v>
      </c>
      <c r="U93" s="12">
        <f>U100</f>
        <v>0</v>
      </c>
      <c r="V93" s="80">
        <f>V100</f>
        <v>0</v>
      </c>
    </row>
    <row r="94" spans="1:22" ht="20.399999999999999" x14ac:dyDescent="0.3">
      <c r="A94" s="54" t="s">
        <v>113</v>
      </c>
      <c r="B94" s="55" t="s">
        <v>32</v>
      </c>
      <c r="C94" s="55" t="s">
        <v>33</v>
      </c>
      <c r="D94" s="56" t="s">
        <v>114</v>
      </c>
      <c r="E94" s="57"/>
      <c r="F94" s="58"/>
      <c r="G94" s="58"/>
      <c r="H94" s="58"/>
      <c r="I94" s="58"/>
      <c r="J94" s="58"/>
      <c r="K94" s="59">
        <f>K98</f>
        <v>20.05</v>
      </c>
      <c r="L94" s="59">
        <f>L98</f>
        <v>121.94</v>
      </c>
      <c r="M94" s="60">
        <f>M98</f>
        <v>2444.9</v>
      </c>
      <c r="N94" s="57"/>
      <c r="O94" s="58"/>
      <c r="P94" s="58"/>
      <c r="Q94" s="58"/>
      <c r="R94" s="58"/>
      <c r="S94" s="58"/>
      <c r="T94" s="59">
        <f>T98</f>
        <v>20.05</v>
      </c>
      <c r="U94" s="8">
        <f>U98</f>
        <v>0</v>
      </c>
      <c r="V94" s="60">
        <f>V98</f>
        <v>0</v>
      </c>
    </row>
    <row r="95" spans="1:22" ht="102" x14ac:dyDescent="0.3">
      <c r="A95" s="61"/>
      <c r="B95" s="61"/>
      <c r="C95" s="61"/>
      <c r="D95" s="56" t="s">
        <v>115</v>
      </c>
      <c r="E95" s="57"/>
      <c r="F95" s="58"/>
      <c r="G95" s="58"/>
      <c r="H95" s="58"/>
      <c r="I95" s="58"/>
      <c r="J95" s="58"/>
      <c r="K95" s="58"/>
      <c r="L95" s="58"/>
      <c r="M95" s="62"/>
      <c r="N95" s="57"/>
      <c r="O95" s="58"/>
      <c r="P95" s="58"/>
      <c r="Q95" s="58"/>
      <c r="R95" s="58"/>
      <c r="S95" s="58"/>
      <c r="T95" s="58"/>
      <c r="U95" s="7"/>
      <c r="V95" s="62"/>
    </row>
    <row r="96" spans="1:22" x14ac:dyDescent="0.3">
      <c r="A96" s="61"/>
      <c r="B96" s="61"/>
      <c r="C96" s="61"/>
      <c r="D96" s="63"/>
      <c r="E96" s="64" t="s">
        <v>96</v>
      </c>
      <c r="F96" s="65">
        <v>1</v>
      </c>
      <c r="G96" s="66">
        <v>41.67</v>
      </c>
      <c r="H96" s="66">
        <v>0.25</v>
      </c>
      <c r="I96" s="66">
        <v>1.55</v>
      </c>
      <c r="J96" s="59">
        <f>OR(F96&lt;&gt;0,G96&lt;&gt;0,H96&lt;&gt;0,I96&lt;&gt;0)*(F96 + (F96 = 0))*(G96 + (G96 = 0))*(H96 + (H96 = 0))*(I96 + (I96 = 0))</f>
        <v>16.149999999999999</v>
      </c>
      <c r="K96" s="58"/>
      <c r="L96" s="58"/>
      <c r="M96" s="62"/>
      <c r="N96" s="64" t="s">
        <v>96</v>
      </c>
      <c r="O96" s="65">
        <v>1</v>
      </c>
      <c r="P96" s="66">
        <v>41.67</v>
      </c>
      <c r="Q96" s="66">
        <v>0.25</v>
      </c>
      <c r="R96" s="66">
        <v>1.55</v>
      </c>
      <c r="S96" s="59">
        <f>OR(O96&lt;&gt;0,P96&lt;&gt;0,Q96&lt;&gt;0,R96&lt;&gt;0)*(O96 + (O96 = 0))*(P96 + (P96 = 0))*(Q96 + (Q96 = 0))*(R96 + (R96 = 0))</f>
        <v>16.149999999999999</v>
      </c>
      <c r="T96" s="58"/>
      <c r="U96" s="7"/>
      <c r="V96" s="62"/>
    </row>
    <row r="97" spans="1:22" x14ac:dyDescent="0.3">
      <c r="A97" s="61"/>
      <c r="B97" s="61"/>
      <c r="C97" s="61"/>
      <c r="D97" s="63"/>
      <c r="E97" s="64" t="s">
        <v>97</v>
      </c>
      <c r="F97" s="65">
        <v>1</v>
      </c>
      <c r="G97" s="66">
        <v>20.82</v>
      </c>
      <c r="H97" s="66">
        <v>0.25</v>
      </c>
      <c r="I97" s="66">
        <v>0.75</v>
      </c>
      <c r="J97" s="59">
        <f>OR(F97&lt;&gt;0,G97&lt;&gt;0,H97&lt;&gt;0,I97&lt;&gt;0)*(F97 + (F97 = 0))*(G97 + (G97 = 0))*(H97 + (H97 = 0))*(I97 + (I97 = 0))</f>
        <v>3.9</v>
      </c>
      <c r="K97" s="58"/>
      <c r="L97" s="58"/>
      <c r="M97" s="62"/>
      <c r="N97" s="64" t="s">
        <v>97</v>
      </c>
      <c r="O97" s="65">
        <v>1</v>
      </c>
      <c r="P97" s="66">
        <v>20.82</v>
      </c>
      <c r="Q97" s="66">
        <v>0.25</v>
      </c>
      <c r="R97" s="66">
        <v>0.75</v>
      </c>
      <c r="S97" s="59">
        <f>OR(O97&lt;&gt;0,P97&lt;&gt;0,Q97&lt;&gt;0,R97&lt;&gt;0)*(O97 + (O97 = 0))*(P97 + (P97 = 0))*(Q97 + (Q97 = 0))*(R97 + (R97 = 0))</f>
        <v>3.9</v>
      </c>
      <c r="T97" s="58"/>
      <c r="U97" s="7"/>
      <c r="V97" s="62"/>
    </row>
    <row r="98" spans="1:22" x14ac:dyDescent="0.3">
      <c r="A98" s="61"/>
      <c r="B98" s="61"/>
      <c r="C98" s="61"/>
      <c r="D98" s="63"/>
      <c r="E98" s="57"/>
      <c r="F98" s="58"/>
      <c r="G98" s="58"/>
      <c r="H98" s="58"/>
      <c r="I98" s="58"/>
      <c r="J98" s="67" t="s">
        <v>116</v>
      </c>
      <c r="K98" s="68">
        <f>SUM(J96:J97)*1</f>
        <v>20.05</v>
      </c>
      <c r="L98" s="66">
        <f>115.04*1.06</f>
        <v>121.94</v>
      </c>
      <c r="M98" s="69">
        <f>ROUND(K98*L98,2)</f>
        <v>2444.9</v>
      </c>
      <c r="N98" s="57"/>
      <c r="O98" s="58"/>
      <c r="P98" s="58"/>
      <c r="Q98" s="58"/>
      <c r="R98" s="58"/>
      <c r="S98" s="67" t="s">
        <v>116</v>
      </c>
      <c r="T98" s="68">
        <f>SUM(S96:S97)*1</f>
        <v>20.05</v>
      </c>
      <c r="U98" s="9">
        <v>0</v>
      </c>
      <c r="V98" s="69">
        <f>ROUND(T98*U98,2)</f>
        <v>0</v>
      </c>
    </row>
    <row r="99" spans="1:22" ht="1.2" customHeight="1" x14ac:dyDescent="0.3">
      <c r="A99" s="70"/>
      <c r="B99" s="70"/>
      <c r="C99" s="70"/>
      <c r="D99" s="71"/>
      <c r="E99" s="72"/>
      <c r="F99" s="73"/>
      <c r="G99" s="73"/>
      <c r="H99" s="73"/>
      <c r="I99" s="73"/>
      <c r="J99" s="73"/>
      <c r="K99" s="73"/>
      <c r="L99" s="73"/>
      <c r="M99" s="74"/>
      <c r="N99" s="72"/>
      <c r="O99" s="73"/>
      <c r="P99" s="73"/>
      <c r="Q99" s="73"/>
      <c r="R99" s="73"/>
      <c r="S99" s="73"/>
      <c r="T99" s="73"/>
      <c r="U99" s="73"/>
      <c r="V99" s="74"/>
    </row>
    <row r="100" spans="1:22" x14ac:dyDescent="0.3">
      <c r="A100" s="61"/>
      <c r="B100" s="61"/>
      <c r="C100" s="61"/>
      <c r="D100" s="63"/>
      <c r="E100" s="57"/>
      <c r="F100" s="58"/>
      <c r="G100" s="58"/>
      <c r="H100" s="58"/>
      <c r="I100" s="58"/>
      <c r="J100" s="67" t="s">
        <v>117</v>
      </c>
      <c r="K100" s="66">
        <v>1</v>
      </c>
      <c r="L100" s="68">
        <f>M94</f>
        <v>2444.9</v>
      </c>
      <c r="M100" s="69">
        <f>ROUND(K100*L100,2)</f>
        <v>2444.9</v>
      </c>
      <c r="N100" s="57"/>
      <c r="O100" s="58"/>
      <c r="P100" s="58"/>
      <c r="Q100" s="58"/>
      <c r="R100" s="58"/>
      <c r="S100" s="67" t="s">
        <v>117</v>
      </c>
      <c r="T100" s="66">
        <v>1</v>
      </c>
      <c r="U100" s="10">
        <f>V94</f>
        <v>0</v>
      </c>
      <c r="V100" s="69">
        <f>ROUND(T100*U100,2)</f>
        <v>0</v>
      </c>
    </row>
    <row r="101" spans="1:22" ht="1.2" customHeight="1" x14ac:dyDescent="0.3">
      <c r="A101" s="70"/>
      <c r="B101" s="70"/>
      <c r="C101" s="70"/>
      <c r="D101" s="71"/>
      <c r="E101" s="72"/>
      <c r="F101" s="73"/>
      <c r="G101" s="73"/>
      <c r="H101" s="73"/>
      <c r="I101" s="73"/>
      <c r="J101" s="73"/>
      <c r="K101" s="73"/>
      <c r="L101" s="73"/>
      <c r="M101" s="74"/>
      <c r="N101" s="72"/>
      <c r="O101" s="73"/>
      <c r="P101" s="73"/>
      <c r="Q101" s="73"/>
      <c r="R101" s="73"/>
      <c r="S101" s="73"/>
      <c r="T101" s="73"/>
      <c r="U101" s="11"/>
      <c r="V101" s="74"/>
    </row>
    <row r="102" spans="1:22" x14ac:dyDescent="0.3">
      <c r="A102" s="75" t="s">
        <v>118</v>
      </c>
      <c r="B102" s="75" t="s">
        <v>16</v>
      </c>
      <c r="C102" s="75" t="s">
        <v>17</v>
      </c>
      <c r="D102" s="76" t="s">
        <v>101</v>
      </c>
      <c r="E102" s="77"/>
      <c r="F102" s="78"/>
      <c r="G102" s="78"/>
      <c r="H102" s="78"/>
      <c r="I102" s="78"/>
      <c r="J102" s="78"/>
      <c r="K102" s="79">
        <f>K109</f>
        <v>1</v>
      </c>
      <c r="L102" s="79">
        <f>L109</f>
        <v>212.03</v>
      </c>
      <c r="M102" s="80">
        <f>M109</f>
        <v>212.03</v>
      </c>
      <c r="N102" s="77"/>
      <c r="O102" s="78"/>
      <c r="P102" s="78"/>
      <c r="Q102" s="78"/>
      <c r="R102" s="78"/>
      <c r="S102" s="78"/>
      <c r="T102" s="79">
        <f>T109</f>
        <v>1</v>
      </c>
      <c r="U102" s="12">
        <f>U109</f>
        <v>0</v>
      </c>
      <c r="V102" s="80">
        <f>V109</f>
        <v>0</v>
      </c>
    </row>
    <row r="103" spans="1:22" x14ac:dyDescent="0.3">
      <c r="A103" s="54" t="s">
        <v>119</v>
      </c>
      <c r="B103" s="55" t="s">
        <v>32</v>
      </c>
      <c r="C103" s="55" t="s">
        <v>33</v>
      </c>
      <c r="D103" s="56" t="s">
        <v>120</v>
      </c>
      <c r="E103" s="57"/>
      <c r="F103" s="58"/>
      <c r="G103" s="58"/>
      <c r="H103" s="58"/>
      <c r="I103" s="58"/>
      <c r="J103" s="58"/>
      <c r="K103" s="59">
        <f>K107</f>
        <v>1.99</v>
      </c>
      <c r="L103" s="59">
        <f>L107</f>
        <v>106.55</v>
      </c>
      <c r="M103" s="60">
        <f>M107</f>
        <v>212.03</v>
      </c>
      <c r="N103" s="57"/>
      <c r="O103" s="58"/>
      <c r="P103" s="58"/>
      <c r="Q103" s="58"/>
      <c r="R103" s="58"/>
      <c r="S103" s="58"/>
      <c r="T103" s="59">
        <f>T107</f>
        <v>1.99</v>
      </c>
      <c r="U103" s="8">
        <f>U107</f>
        <v>0</v>
      </c>
      <c r="V103" s="60">
        <f>V107</f>
        <v>0</v>
      </c>
    </row>
    <row r="104" spans="1:22" ht="102" x14ac:dyDescent="0.3">
      <c r="A104" s="61"/>
      <c r="B104" s="61"/>
      <c r="C104" s="61"/>
      <c r="D104" s="56" t="s">
        <v>121</v>
      </c>
      <c r="E104" s="57"/>
      <c r="F104" s="58"/>
      <c r="G104" s="58"/>
      <c r="H104" s="58"/>
      <c r="I104" s="58"/>
      <c r="J104" s="58"/>
      <c r="K104" s="58"/>
      <c r="L104" s="58"/>
      <c r="M104" s="62"/>
      <c r="N104" s="57"/>
      <c r="O104" s="58"/>
      <c r="P104" s="58"/>
      <c r="Q104" s="58"/>
      <c r="R104" s="58"/>
      <c r="S104" s="58"/>
      <c r="T104" s="58"/>
      <c r="U104" s="7"/>
      <c r="V104" s="62"/>
    </row>
    <row r="105" spans="1:22" x14ac:dyDescent="0.3">
      <c r="A105" s="61"/>
      <c r="B105" s="61"/>
      <c r="C105" s="61"/>
      <c r="D105" s="63"/>
      <c r="E105" s="64" t="s">
        <v>105</v>
      </c>
      <c r="F105" s="65">
        <v>1</v>
      </c>
      <c r="G105" s="66">
        <v>13.5</v>
      </c>
      <c r="H105" s="66">
        <v>0.25</v>
      </c>
      <c r="I105" s="66">
        <v>0.49</v>
      </c>
      <c r="J105" s="59">
        <f>OR(F105&lt;&gt;0,G105&lt;&gt;0,H105&lt;&gt;0,I105&lt;&gt;0)*(F105 + (F105 = 0))*(G105 + (G105 = 0))*(H105 + (H105 = 0))*(I105 + (I105 = 0))</f>
        <v>1.65</v>
      </c>
      <c r="K105" s="58"/>
      <c r="L105" s="58"/>
      <c r="M105" s="62"/>
      <c r="N105" s="64" t="s">
        <v>105</v>
      </c>
      <c r="O105" s="65">
        <v>1</v>
      </c>
      <c r="P105" s="66">
        <v>13.5</v>
      </c>
      <c r="Q105" s="66">
        <v>0.25</v>
      </c>
      <c r="R105" s="66">
        <v>0.49</v>
      </c>
      <c r="S105" s="59">
        <f>OR(O105&lt;&gt;0,P105&lt;&gt;0,Q105&lt;&gt;0,R105&lt;&gt;0)*(O105 + (O105 = 0))*(P105 + (P105 = 0))*(Q105 + (Q105 = 0))*(R105 + (R105 = 0))</f>
        <v>1.65</v>
      </c>
      <c r="T105" s="58"/>
      <c r="U105" s="7"/>
      <c r="V105" s="62"/>
    </row>
    <row r="106" spans="1:22" x14ac:dyDescent="0.3">
      <c r="A106" s="61"/>
      <c r="B106" s="61"/>
      <c r="C106" s="61"/>
      <c r="D106" s="63"/>
      <c r="E106" s="64" t="s">
        <v>106</v>
      </c>
      <c r="F106" s="65">
        <v>1</v>
      </c>
      <c r="G106" s="66">
        <v>4.5</v>
      </c>
      <c r="H106" s="66">
        <v>0.25</v>
      </c>
      <c r="I106" s="66">
        <v>0.3</v>
      </c>
      <c r="J106" s="59">
        <f>OR(F106&lt;&gt;0,G106&lt;&gt;0,H106&lt;&gt;0,I106&lt;&gt;0)*(F106 + (F106 = 0))*(G106 + (G106 = 0))*(H106 + (H106 = 0))*(I106 + (I106 = 0))</f>
        <v>0.34</v>
      </c>
      <c r="K106" s="58"/>
      <c r="L106" s="58"/>
      <c r="M106" s="62"/>
      <c r="N106" s="64" t="s">
        <v>106</v>
      </c>
      <c r="O106" s="65">
        <v>1</v>
      </c>
      <c r="P106" s="66">
        <v>4.5</v>
      </c>
      <c r="Q106" s="66">
        <v>0.25</v>
      </c>
      <c r="R106" s="66">
        <v>0.3</v>
      </c>
      <c r="S106" s="59">
        <f>OR(O106&lt;&gt;0,P106&lt;&gt;0,Q106&lt;&gt;0,R106&lt;&gt;0)*(O106 + (O106 = 0))*(P106 + (P106 = 0))*(Q106 + (Q106 = 0))*(R106 + (R106 = 0))</f>
        <v>0.34</v>
      </c>
      <c r="T106" s="58"/>
      <c r="U106" s="7"/>
      <c r="V106" s="62"/>
    </row>
    <row r="107" spans="1:22" x14ac:dyDescent="0.3">
      <c r="A107" s="61"/>
      <c r="B107" s="61"/>
      <c r="C107" s="61"/>
      <c r="D107" s="63"/>
      <c r="E107" s="57"/>
      <c r="F107" s="58"/>
      <c r="G107" s="58"/>
      <c r="H107" s="58"/>
      <c r="I107" s="58"/>
      <c r="J107" s="67" t="s">
        <v>122</v>
      </c>
      <c r="K107" s="68">
        <f>SUM(J105:J106)*1</f>
        <v>1.99</v>
      </c>
      <c r="L107" s="66">
        <f>100.52*1.06</f>
        <v>106.55</v>
      </c>
      <c r="M107" s="69">
        <f>ROUND(K107*L107,2)</f>
        <v>212.03</v>
      </c>
      <c r="N107" s="57"/>
      <c r="O107" s="58"/>
      <c r="P107" s="58"/>
      <c r="Q107" s="58"/>
      <c r="R107" s="58"/>
      <c r="S107" s="67" t="s">
        <v>122</v>
      </c>
      <c r="T107" s="68">
        <f>SUM(S105:S106)*1</f>
        <v>1.99</v>
      </c>
      <c r="U107" s="9">
        <v>0</v>
      </c>
      <c r="V107" s="69">
        <f>ROUND(T107*U107,2)</f>
        <v>0</v>
      </c>
    </row>
    <row r="108" spans="1:22" ht="1.2" customHeight="1" x14ac:dyDescent="0.3">
      <c r="A108" s="70"/>
      <c r="B108" s="70"/>
      <c r="C108" s="70"/>
      <c r="D108" s="71"/>
      <c r="E108" s="72"/>
      <c r="F108" s="73"/>
      <c r="G108" s="73"/>
      <c r="H108" s="73"/>
      <c r="I108" s="73"/>
      <c r="J108" s="73"/>
      <c r="K108" s="73"/>
      <c r="L108" s="73"/>
      <c r="M108" s="74"/>
      <c r="N108" s="72"/>
      <c r="O108" s="73"/>
      <c r="P108" s="73"/>
      <c r="Q108" s="73"/>
      <c r="R108" s="73"/>
      <c r="S108" s="73"/>
      <c r="T108" s="73"/>
      <c r="U108" s="11"/>
      <c r="V108" s="74"/>
    </row>
    <row r="109" spans="1:22" x14ac:dyDescent="0.3">
      <c r="A109" s="61"/>
      <c r="B109" s="61"/>
      <c r="C109" s="61"/>
      <c r="D109" s="63"/>
      <c r="E109" s="57"/>
      <c r="F109" s="58"/>
      <c r="G109" s="58"/>
      <c r="H109" s="58"/>
      <c r="I109" s="58"/>
      <c r="J109" s="67" t="s">
        <v>123</v>
      </c>
      <c r="K109" s="66">
        <v>1</v>
      </c>
      <c r="L109" s="68">
        <f>M103</f>
        <v>212.03</v>
      </c>
      <c r="M109" s="69">
        <f>ROUND(K109*L109,2)</f>
        <v>212.03</v>
      </c>
      <c r="N109" s="57"/>
      <c r="O109" s="58"/>
      <c r="P109" s="58"/>
      <c r="Q109" s="58"/>
      <c r="R109" s="58"/>
      <c r="S109" s="67" t="s">
        <v>123</v>
      </c>
      <c r="T109" s="66">
        <v>1</v>
      </c>
      <c r="U109" s="10">
        <f>V103</f>
        <v>0</v>
      </c>
      <c r="V109" s="69">
        <f>ROUND(T109*U109,2)</f>
        <v>0</v>
      </c>
    </row>
    <row r="110" spans="1:22" ht="1.2" customHeight="1" x14ac:dyDescent="0.3">
      <c r="A110" s="70"/>
      <c r="B110" s="70"/>
      <c r="C110" s="70"/>
      <c r="D110" s="71"/>
      <c r="E110" s="72"/>
      <c r="F110" s="73"/>
      <c r="G110" s="73"/>
      <c r="H110" s="73"/>
      <c r="I110" s="73"/>
      <c r="J110" s="73"/>
      <c r="K110" s="73"/>
      <c r="L110" s="73"/>
      <c r="M110" s="74"/>
      <c r="N110" s="72"/>
      <c r="O110" s="73"/>
      <c r="P110" s="73"/>
      <c r="Q110" s="73"/>
      <c r="R110" s="73"/>
      <c r="S110" s="73"/>
      <c r="T110" s="73"/>
      <c r="U110" s="11"/>
      <c r="V110" s="74"/>
    </row>
    <row r="111" spans="1:22" x14ac:dyDescent="0.3">
      <c r="A111" s="75" t="s">
        <v>124</v>
      </c>
      <c r="B111" s="75" t="s">
        <v>16</v>
      </c>
      <c r="C111" s="75" t="s">
        <v>17</v>
      </c>
      <c r="D111" s="76" t="s">
        <v>125</v>
      </c>
      <c r="E111" s="77"/>
      <c r="F111" s="78"/>
      <c r="G111" s="78"/>
      <c r="H111" s="78"/>
      <c r="I111" s="78"/>
      <c r="J111" s="78"/>
      <c r="K111" s="79">
        <f>K121</f>
        <v>1</v>
      </c>
      <c r="L111" s="79">
        <f>L121</f>
        <v>4589.8599999999997</v>
      </c>
      <c r="M111" s="80">
        <f>M121</f>
        <v>4589.8599999999997</v>
      </c>
      <c r="N111" s="77"/>
      <c r="O111" s="78"/>
      <c r="P111" s="78"/>
      <c r="Q111" s="78"/>
      <c r="R111" s="78"/>
      <c r="S111" s="78"/>
      <c r="T111" s="79">
        <f>T121</f>
        <v>1</v>
      </c>
      <c r="U111" s="12">
        <f>U121</f>
        <v>0</v>
      </c>
      <c r="V111" s="80">
        <f>V121</f>
        <v>0</v>
      </c>
    </row>
    <row r="112" spans="1:22" ht="20.399999999999999" x14ac:dyDescent="0.3">
      <c r="A112" s="54" t="s">
        <v>126</v>
      </c>
      <c r="B112" s="55" t="s">
        <v>32</v>
      </c>
      <c r="C112" s="55" t="s">
        <v>33</v>
      </c>
      <c r="D112" s="56" t="s">
        <v>127</v>
      </c>
      <c r="E112" s="57"/>
      <c r="F112" s="58"/>
      <c r="G112" s="58"/>
      <c r="H112" s="58"/>
      <c r="I112" s="58"/>
      <c r="J112" s="58"/>
      <c r="K112" s="59">
        <f>K119</f>
        <v>39.770000000000003</v>
      </c>
      <c r="L112" s="59">
        <f>L119</f>
        <v>115.41</v>
      </c>
      <c r="M112" s="60">
        <f>M119</f>
        <v>4589.8599999999997</v>
      </c>
      <c r="N112" s="57"/>
      <c r="O112" s="58"/>
      <c r="P112" s="58"/>
      <c r="Q112" s="58"/>
      <c r="R112" s="58"/>
      <c r="S112" s="58"/>
      <c r="T112" s="59">
        <f>T119</f>
        <v>39.770000000000003</v>
      </c>
      <c r="U112" s="8">
        <f>U119</f>
        <v>0</v>
      </c>
      <c r="V112" s="60">
        <f>V119</f>
        <v>0</v>
      </c>
    </row>
    <row r="113" spans="1:22" ht="112.2" x14ac:dyDescent="0.3">
      <c r="A113" s="61"/>
      <c r="B113" s="61"/>
      <c r="C113" s="61"/>
      <c r="D113" s="56" t="s">
        <v>128</v>
      </c>
      <c r="E113" s="57"/>
      <c r="F113" s="58"/>
      <c r="G113" s="58"/>
      <c r="H113" s="58"/>
      <c r="I113" s="58"/>
      <c r="J113" s="58"/>
      <c r="K113" s="58"/>
      <c r="L113" s="58"/>
      <c r="M113" s="62"/>
      <c r="N113" s="57"/>
      <c r="O113" s="58"/>
      <c r="P113" s="58"/>
      <c r="Q113" s="58"/>
      <c r="R113" s="58"/>
      <c r="S113" s="58"/>
      <c r="T113" s="58"/>
      <c r="U113" s="7"/>
      <c r="V113" s="62"/>
    </row>
    <row r="114" spans="1:22" x14ac:dyDescent="0.3">
      <c r="A114" s="61"/>
      <c r="B114" s="61"/>
      <c r="C114" s="61"/>
      <c r="D114" s="63"/>
      <c r="E114" s="64" t="s">
        <v>81</v>
      </c>
      <c r="F114" s="65">
        <v>1</v>
      </c>
      <c r="G114" s="66">
        <v>41.67</v>
      </c>
      <c r="H114" s="66">
        <v>1</v>
      </c>
      <c r="I114" s="66">
        <v>0.5</v>
      </c>
      <c r="J114" s="59">
        <f>OR(F114&lt;&gt;0,G114&lt;&gt;0,H114&lt;&gt;0,I114&lt;&gt;0)*(F114 + (F114 = 0))*(G114 + (G114 = 0))*(H114 + (H114 = 0))*(I114 + (I114 = 0))</f>
        <v>20.84</v>
      </c>
      <c r="K114" s="58"/>
      <c r="L114" s="58"/>
      <c r="M114" s="62"/>
      <c r="N114" s="64" t="s">
        <v>81</v>
      </c>
      <c r="O114" s="65">
        <v>1</v>
      </c>
      <c r="P114" s="66">
        <v>41.67</v>
      </c>
      <c r="Q114" s="66">
        <v>1</v>
      </c>
      <c r="R114" s="66">
        <v>0.5</v>
      </c>
      <c r="S114" s="59">
        <f>OR(O114&lt;&gt;0,P114&lt;&gt;0,Q114&lt;&gt;0,R114&lt;&gt;0)*(O114 + (O114 = 0))*(P114 + (P114 = 0))*(Q114 + (Q114 = 0))*(R114 + (R114 = 0))</f>
        <v>20.84</v>
      </c>
      <c r="T114" s="58"/>
      <c r="U114" s="7"/>
      <c r="V114" s="62"/>
    </row>
    <row r="115" spans="1:22" x14ac:dyDescent="0.3">
      <c r="A115" s="61"/>
      <c r="B115" s="61"/>
      <c r="C115" s="61"/>
      <c r="D115" s="63"/>
      <c r="E115" s="64" t="s">
        <v>83</v>
      </c>
      <c r="F115" s="65">
        <v>1</v>
      </c>
      <c r="G115" s="66">
        <v>20.82</v>
      </c>
      <c r="H115" s="66">
        <v>1</v>
      </c>
      <c r="I115" s="66">
        <v>0.5</v>
      </c>
      <c r="J115" s="59">
        <f>OR(F115&lt;&gt;0,G115&lt;&gt;0,H115&lt;&gt;0,I115&lt;&gt;0)*(F115 + (F115 = 0))*(G115 + (G115 = 0))*(H115 + (H115 = 0))*(I115 + (I115 = 0))</f>
        <v>10.41</v>
      </c>
      <c r="K115" s="58"/>
      <c r="L115" s="58"/>
      <c r="M115" s="62"/>
      <c r="N115" s="64" t="s">
        <v>83</v>
      </c>
      <c r="O115" s="65">
        <v>1</v>
      </c>
      <c r="P115" s="66">
        <v>20.82</v>
      </c>
      <c r="Q115" s="66">
        <v>1</v>
      </c>
      <c r="R115" s="66">
        <v>0.5</v>
      </c>
      <c r="S115" s="59">
        <f>OR(O115&lt;&gt;0,P115&lt;&gt;0,Q115&lt;&gt;0,R115&lt;&gt;0)*(O115 + (O115 = 0))*(P115 + (P115 = 0))*(Q115 + (Q115 = 0))*(R115 + (R115 = 0))</f>
        <v>10.41</v>
      </c>
      <c r="T115" s="58"/>
      <c r="U115" s="7"/>
      <c r="V115" s="62"/>
    </row>
    <row r="116" spans="1:22" x14ac:dyDescent="0.3">
      <c r="A116" s="61"/>
      <c r="B116" s="61"/>
      <c r="C116" s="61"/>
      <c r="D116" s="63"/>
      <c r="E116" s="64" t="s">
        <v>129</v>
      </c>
      <c r="F116" s="65">
        <v>1</v>
      </c>
      <c r="G116" s="66">
        <v>1.7</v>
      </c>
      <c r="H116" s="66">
        <v>2.4</v>
      </c>
      <c r="I116" s="66">
        <v>0.5</v>
      </c>
      <c r="J116" s="59">
        <f>OR(F116&lt;&gt;0,G116&lt;&gt;0,H116&lt;&gt;0,I116&lt;&gt;0)*(F116 + (F116 = 0))*(G116 + (G116 = 0))*(H116 + (H116 = 0))*(I116 + (I116 = 0))</f>
        <v>2.04</v>
      </c>
      <c r="K116" s="58"/>
      <c r="L116" s="58"/>
      <c r="M116" s="62"/>
      <c r="N116" s="64" t="s">
        <v>129</v>
      </c>
      <c r="O116" s="65">
        <v>1</v>
      </c>
      <c r="P116" s="66">
        <v>1.7</v>
      </c>
      <c r="Q116" s="66">
        <v>2.4</v>
      </c>
      <c r="R116" s="66">
        <v>0.5</v>
      </c>
      <c r="S116" s="59">
        <f>OR(O116&lt;&gt;0,P116&lt;&gt;0,Q116&lt;&gt;0,R116&lt;&gt;0)*(O116 + (O116 = 0))*(P116 + (P116 = 0))*(Q116 + (Q116 = 0))*(R116 + (R116 = 0))</f>
        <v>2.04</v>
      </c>
      <c r="T116" s="58"/>
      <c r="U116" s="7"/>
      <c r="V116" s="62"/>
    </row>
    <row r="117" spans="1:22" x14ac:dyDescent="0.3">
      <c r="A117" s="61"/>
      <c r="B117" s="61"/>
      <c r="C117" s="61"/>
      <c r="D117" s="63"/>
      <c r="E117" s="64" t="s">
        <v>130</v>
      </c>
      <c r="F117" s="65">
        <v>1</v>
      </c>
      <c r="G117" s="66">
        <v>1.5</v>
      </c>
      <c r="H117" s="66">
        <v>2.4</v>
      </c>
      <c r="I117" s="66">
        <v>0.5</v>
      </c>
      <c r="J117" s="59">
        <f>OR(F117&lt;&gt;0,G117&lt;&gt;0,H117&lt;&gt;0,I117&lt;&gt;0)*(F117 + (F117 = 0))*(G117 + (G117 = 0))*(H117 + (H117 = 0))*(I117 + (I117 = 0))</f>
        <v>1.8</v>
      </c>
      <c r="K117" s="58"/>
      <c r="L117" s="58"/>
      <c r="M117" s="62"/>
      <c r="N117" s="64" t="s">
        <v>130</v>
      </c>
      <c r="O117" s="65">
        <v>1</v>
      </c>
      <c r="P117" s="66">
        <v>1.5</v>
      </c>
      <c r="Q117" s="66">
        <v>2.4</v>
      </c>
      <c r="R117" s="66">
        <v>0.5</v>
      </c>
      <c r="S117" s="59">
        <f>OR(O117&lt;&gt;0,P117&lt;&gt;0,Q117&lt;&gt;0,R117&lt;&gt;0)*(O117 + (O117 = 0))*(P117 + (P117 = 0))*(Q117 + (Q117 = 0))*(R117 + (R117 = 0))</f>
        <v>1.8</v>
      </c>
      <c r="T117" s="58"/>
      <c r="U117" s="7"/>
      <c r="V117" s="62"/>
    </row>
    <row r="118" spans="1:22" x14ac:dyDescent="0.3">
      <c r="A118" s="61"/>
      <c r="B118" s="61"/>
      <c r="C118" s="61"/>
      <c r="D118" s="63"/>
      <c r="E118" s="64" t="s">
        <v>131</v>
      </c>
      <c r="F118" s="65">
        <v>4</v>
      </c>
      <c r="G118" s="66">
        <v>1.3</v>
      </c>
      <c r="H118" s="66">
        <v>1.8</v>
      </c>
      <c r="I118" s="66">
        <v>0.5</v>
      </c>
      <c r="J118" s="59">
        <f>OR(F118&lt;&gt;0,G118&lt;&gt;0,H118&lt;&gt;0,I118&lt;&gt;0)*(F118 + (F118 = 0))*(G118 + (G118 = 0))*(H118 + (H118 = 0))*(I118 + (I118 = 0))</f>
        <v>4.68</v>
      </c>
      <c r="K118" s="58"/>
      <c r="L118" s="58"/>
      <c r="M118" s="62"/>
      <c r="N118" s="64" t="s">
        <v>131</v>
      </c>
      <c r="O118" s="65">
        <v>4</v>
      </c>
      <c r="P118" s="66">
        <v>1.3</v>
      </c>
      <c r="Q118" s="66">
        <v>1.8</v>
      </c>
      <c r="R118" s="66">
        <v>0.5</v>
      </c>
      <c r="S118" s="59">
        <f>OR(O118&lt;&gt;0,P118&lt;&gt;0,Q118&lt;&gt;0,R118&lt;&gt;0)*(O118 + (O118 = 0))*(P118 + (P118 = 0))*(Q118 + (Q118 = 0))*(R118 + (R118 = 0))</f>
        <v>4.68</v>
      </c>
      <c r="T118" s="58"/>
      <c r="U118" s="7"/>
      <c r="V118" s="62"/>
    </row>
    <row r="119" spans="1:22" x14ac:dyDescent="0.3">
      <c r="A119" s="61"/>
      <c r="B119" s="61"/>
      <c r="C119" s="61"/>
      <c r="D119" s="63"/>
      <c r="E119" s="57"/>
      <c r="F119" s="58"/>
      <c r="G119" s="58"/>
      <c r="H119" s="58"/>
      <c r="I119" s="58"/>
      <c r="J119" s="67" t="s">
        <v>132</v>
      </c>
      <c r="K119" s="68">
        <f>SUM(J114:J118)*1</f>
        <v>39.770000000000003</v>
      </c>
      <c r="L119" s="66">
        <f>108.88*1.06</f>
        <v>115.41</v>
      </c>
      <c r="M119" s="69">
        <f>ROUND(K119*L119,2)</f>
        <v>4589.8599999999997</v>
      </c>
      <c r="N119" s="57"/>
      <c r="O119" s="58"/>
      <c r="P119" s="58"/>
      <c r="Q119" s="58"/>
      <c r="R119" s="58"/>
      <c r="S119" s="67" t="s">
        <v>132</v>
      </c>
      <c r="T119" s="68">
        <f>SUM(S114:S118)*1</f>
        <v>39.770000000000003</v>
      </c>
      <c r="U119" s="9">
        <v>0</v>
      </c>
      <c r="V119" s="69">
        <f>ROUND(T119*U119,2)</f>
        <v>0</v>
      </c>
    </row>
    <row r="120" spans="1:22" ht="1.2" customHeight="1" x14ac:dyDescent="0.3">
      <c r="A120" s="70"/>
      <c r="B120" s="70"/>
      <c r="C120" s="70"/>
      <c r="D120" s="71"/>
      <c r="E120" s="72"/>
      <c r="F120" s="73"/>
      <c r="G120" s="73"/>
      <c r="H120" s="73"/>
      <c r="I120" s="73"/>
      <c r="J120" s="73"/>
      <c r="K120" s="73"/>
      <c r="L120" s="73"/>
      <c r="M120" s="74"/>
      <c r="N120" s="72"/>
      <c r="O120" s="73"/>
      <c r="P120" s="73"/>
      <c r="Q120" s="73"/>
      <c r="R120" s="73"/>
      <c r="S120" s="73"/>
      <c r="T120" s="73"/>
      <c r="U120" s="11"/>
      <c r="V120" s="74"/>
    </row>
    <row r="121" spans="1:22" x14ac:dyDescent="0.3">
      <c r="A121" s="61"/>
      <c r="B121" s="61"/>
      <c r="C121" s="61"/>
      <c r="D121" s="63"/>
      <c r="E121" s="57"/>
      <c r="F121" s="58"/>
      <c r="G121" s="58"/>
      <c r="H121" s="58"/>
      <c r="I121" s="58"/>
      <c r="J121" s="67" t="s">
        <v>133</v>
      </c>
      <c r="K121" s="66">
        <v>1</v>
      </c>
      <c r="L121" s="68">
        <f>M112</f>
        <v>4589.8599999999997</v>
      </c>
      <c r="M121" s="69">
        <f>ROUND(K121*L121,2)</f>
        <v>4589.8599999999997</v>
      </c>
      <c r="N121" s="57"/>
      <c r="O121" s="58"/>
      <c r="P121" s="58"/>
      <c r="Q121" s="58"/>
      <c r="R121" s="58"/>
      <c r="S121" s="67" t="s">
        <v>133</v>
      </c>
      <c r="T121" s="66">
        <v>1</v>
      </c>
      <c r="U121" s="10">
        <f>V112</f>
        <v>0</v>
      </c>
      <c r="V121" s="69">
        <f>ROUND(T121*U121,2)</f>
        <v>0</v>
      </c>
    </row>
    <row r="122" spans="1:22" ht="1.2" customHeight="1" x14ac:dyDescent="0.3">
      <c r="A122" s="70"/>
      <c r="B122" s="70"/>
      <c r="C122" s="70"/>
      <c r="D122" s="71"/>
      <c r="E122" s="72"/>
      <c r="F122" s="73"/>
      <c r="G122" s="73"/>
      <c r="H122" s="73"/>
      <c r="I122" s="73"/>
      <c r="J122" s="73"/>
      <c r="K122" s="73"/>
      <c r="L122" s="73"/>
      <c r="M122" s="74"/>
      <c r="N122" s="72"/>
      <c r="O122" s="73"/>
      <c r="P122" s="73"/>
      <c r="Q122" s="73"/>
      <c r="R122" s="73"/>
      <c r="S122" s="73"/>
      <c r="T122" s="73"/>
      <c r="U122" s="11"/>
      <c r="V122" s="74"/>
    </row>
    <row r="123" spans="1:22" x14ac:dyDescent="0.3">
      <c r="A123" s="75" t="s">
        <v>134</v>
      </c>
      <c r="B123" s="75" t="s">
        <v>16</v>
      </c>
      <c r="C123" s="75" t="s">
        <v>17</v>
      </c>
      <c r="D123" s="76" t="s">
        <v>135</v>
      </c>
      <c r="E123" s="77"/>
      <c r="F123" s="78"/>
      <c r="G123" s="78"/>
      <c r="H123" s="78"/>
      <c r="I123" s="78"/>
      <c r="J123" s="78"/>
      <c r="K123" s="79">
        <f>K137</f>
        <v>1</v>
      </c>
      <c r="L123" s="79">
        <f>L137</f>
        <v>7357.7</v>
      </c>
      <c r="M123" s="80">
        <f>M137</f>
        <v>7357.7</v>
      </c>
      <c r="N123" s="77"/>
      <c r="O123" s="78"/>
      <c r="P123" s="78"/>
      <c r="Q123" s="78"/>
      <c r="R123" s="78"/>
      <c r="S123" s="78"/>
      <c r="T123" s="79">
        <f>T137</f>
        <v>1</v>
      </c>
      <c r="U123" s="12">
        <f>U137</f>
        <v>0</v>
      </c>
      <c r="V123" s="80">
        <f>V137</f>
        <v>0</v>
      </c>
    </row>
    <row r="124" spans="1:22" x14ac:dyDescent="0.3">
      <c r="A124" s="54" t="s">
        <v>136</v>
      </c>
      <c r="B124" s="55" t="s">
        <v>32</v>
      </c>
      <c r="C124" s="55" t="s">
        <v>137</v>
      </c>
      <c r="D124" s="56" t="s">
        <v>138</v>
      </c>
      <c r="E124" s="57"/>
      <c r="F124" s="58"/>
      <c r="G124" s="58"/>
      <c r="H124" s="58"/>
      <c r="I124" s="58"/>
      <c r="J124" s="58"/>
      <c r="K124" s="59">
        <f>K135</f>
        <v>3589.12</v>
      </c>
      <c r="L124" s="59">
        <f>L135</f>
        <v>2.0499999999999998</v>
      </c>
      <c r="M124" s="60">
        <f>M135</f>
        <v>7357.7</v>
      </c>
      <c r="N124" s="57"/>
      <c r="O124" s="58"/>
      <c r="P124" s="58"/>
      <c r="Q124" s="58"/>
      <c r="R124" s="58"/>
      <c r="S124" s="58"/>
      <c r="T124" s="59">
        <f>T135</f>
        <v>3589.12</v>
      </c>
      <c r="U124" s="8">
        <f>U135</f>
        <v>0</v>
      </c>
      <c r="V124" s="60">
        <f>V135</f>
        <v>0</v>
      </c>
    </row>
    <row r="125" spans="1:22" ht="71.400000000000006" x14ac:dyDescent="0.3">
      <c r="A125" s="61"/>
      <c r="B125" s="61"/>
      <c r="C125" s="61"/>
      <c r="D125" s="56" t="s">
        <v>139</v>
      </c>
      <c r="E125" s="57"/>
      <c r="F125" s="58"/>
      <c r="G125" s="58"/>
      <c r="H125" s="58"/>
      <c r="I125" s="58"/>
      <c r="J125" s="58"/>
      <c r="K125" s="58"/>
      <c r="L125" s="58"/>
      <c r="M125" s="62"/>
      <c r="N125" s="57"/>
      <c r="O125" s="58"/>
      <c r="P125" s="58"/>
      <c r="Q125" s="58"/>
      <c r="R125" s="58"/>
      <c r="S125" s="58"/>
      <c r="T125" s="58"/>
      <c r="U125" s="7"/>
      <c r="V125" s="62"/>
    </row>
    <row r="126" spans="1:22" x14ac:dyDescent="0.3">
      <c r="A126" s="61"/>
      <c r="B126" s="61"/>
      <c r="C126" s="61"/>
      <c r="D126" s="63"/>
      <c r="E126" s="64" t="s">
        <v>140</v>
      </c>
      <c r="F126" s="65">
        <v>1</v>
      </c>
      <c r="G126" s="66">
        <v>40</v>
      </c>
      <c r="H126" s="66">
        <v>20.84</v>
      </c>
      <c r="I126" s="66">
        <v>0</v>
      </c>
      <c r="J126" s="59">
        <f t="shared" ref="J126:J134" si="2">OR(F126&lt;&gt;0,G126&lt;&gt;0,H126&lt;&gt;0,I126&lt;&gt;0)*(F126 + (F126 = 0))*(G126 + (G126 = 0))*(H126 + (H126 = 0))*(I126 + (I126 = 0))</f>
        <v>833.6</v>
      </c>
      <c r="K126" s="58"/>
      <c r="L126" s="58"/>
      <c r="M126" s="62"/>
      <c r="N126" s="64" t="s">
        <v>140</v>
      </c>
      <c r="O126" s="65">
        <v>1</v>
      </c>
      <c r="P126" s="66">
        <v>40</v>
      </c>
      <c r="Q126" s="66">
        <v>20.84</v>
      </c>
      <c r="R126" s="66">
        <v>0</v>
      </c>
      <c r="S126" s="59">
        <f t="shared" ref="S126:S134" si="3">OR(O126&lt;&gt;0,P126&lt;&gt;0,Q126&lt;&gt;0,R126&lt;&gt;0)*(O126 + (O126 = 0))*(P126 + (P126 = 0))*(Q126 + (Q126 = 0))*(R126 + (R126 = 0))</f>
        <v>833.6</v>
      </c>
      <c r="T126" s="58"/>
      <c r="U126" s="7"/>
      <c r="V126" s="62"/>
    </row>
    <row r="127" spans="1:22" x14ac:dyDescent="0.3">
      <c r="A127" s="61"/>
      <c r="B127" s="61"/>
      <c r="C127" s="61"/>
      <c r="D127" s="63"/>
      <c r="E127" s="64" t="s">
        <v>141</v>
      </c>
      <c r="F127" s="65">
        <v>1</v>
      </c>
      <c r="G127" s="66">
        <v>40</v>
      </c>
      <c r="H127" s="66">
        <v>20.41</v>
      </c>
      <c r="I127" s="66">
        <v>0</v>
      </c>
      <c r="J127" s="59">
        <f t="shared" si="2"/>
        <v>816.4</v>
      </c>
      <c r="K127" s="58"/>
      <c r="L127" s="58"/>
      <c r="M127" s="62"/>
      <c r="N127" s="64" t="s">
        <v>141</v>
      </c>
      <c r="O127" s="65">
        <v>1</v>
      </c>
      <c r="P127" s="66">
        <v>40</v>
      </c>
      <c r="Q127" s="66">
        <v>20.41</v>
      </c>
      <c r="R127" s="66">
        <v>0</v>
      </c>
      <c r="S127" s="59">
        <f t="shared" si="3"/>
        <v>816.4</v>
      </c>
      <c r="T127" s="58"/>
      <c r="U127" s="7"/>
      <c r="V127" s="62"/>
    </row>
    <row r="128" spans="1:22" x14ac:dyDescent="0.3">
      <c r="A128" s="61"/>
      <c r="B128" s="61"/>
      <c r="C128" s="61"/>
      <c r="D128" s="63"/>
      <c r="E128" s="64" t="s">
        <v>96</v>
      </c>
      <c r="F128" s="65">
        <v>1</v>
      </c>
      <c r="G128" s="66">
        <v>60</v>
      </c>
      <c r="H128" s="66">
        <v>16.149999999999999</v>
      </c>
      <c r="I128" s="66">
        <v>0</v>
      </c>
      <c r="J128" s="59">
        <f t="shared" si="2"/>
        <v>969</v>
      </c>
      <c r="K128" s="58"/>
      <c r="L128" s="58"/>
      <c r="M128" s="62"/>
      <c r="N128" s="64" t="s">
        <v>96</v>
      </c>
      <c r="O128" s="65">
        <v>1</v>
      </c>
      <c r="P128" s="66">
        <v>60</v>
      </c>
      <c r="Q128" s="66">
        <v>16.149999999999999</v>
      </c>
      <c r="R128" s="66">
        <v>0</v>
      </c>
      <c r="S128" s="59">
        <f t="shared" si="3"/>
        <v>969</v>
      </c>
      <c r="T128" s="58"/>
      <c r="U128" s="7"/>
      <c r="V128" s="62"/>
    </row>
    <row r="129" spans="1:22" x14ac:dyDescent="0.3">
      <c r="A129" s="61"/>
      <c r="B129" s="61"/>
      <c r="C129" s="61"/>
      <c r="D129" s="63"/>
      <c r="E129" s="64" t="s">
        <v>97</v>
      </c>
      <c r="F129" s="65">
        <v>1</v>
      </c>
      <c r="G129" s="66">
        <v>60</v>
      </c>
      <c r="H129" s="66">
        <v>3.9</v>
      </c>
      <c r="I129" s="66">
        <v>0</v>
      </c>
      <c r="J129" s="59">
        <f t="shared" si="2"/>
        <v>234</v>
      </c>
      <c r="K129" s="58"/>
      <c r="L129" s="58"/>
      <c r="M129" s="62"/>
      <c r="N129" s="64" t="s">
        <v>97</v>
      </c>
      <c r="O129" s="65">
        <v>1</v>
      </c>
      <c r="P129" s="66">
        <v>60</v>
      </c>
      <c r="Q129" s="66">
        <v>3.9</v>
      </c>
      <c r="R129" s="66">
        <v>0</v>
      </c>
      <c r="S129" s="59">
        <f t="shared" si="3"/>
        <v>234</v>
      </c>
      <c r="T129" s="58"/>
      <c r="U129" s="7"/>
      <c r="V129" s="62"/>
    </row>
    <row r="130" spans="1:22" x14ac:dyDescent="0.3">
      <c r="A130" s="61"/>
      <c r="B130" s="61"/>
      <c r="C130" s="61"/>
      <c r="D130" s="63"/>
      <c r="E130" s="64" t="s">
        <v>129</v>
      </c>
      <c r="F130" s="65">
        <v>1</v>
      </c>
      <c r="G130" s="66">
        <v>128.33000000000001</v>
      </c>
      <c r="H130" s="66">
        <v>0</v>
      </c>
      <c r="I130" s="66">
        <v>0</v>
      </c>
      <c r="J130" s="59">
        <f t="shared" si="2"/>
        <v>128.33000000000001</v>
      </c>
      <c r="K130" s="58"/>
      <c r="L130" s="58"/>
      <c r="M130" s="62"/>
      <c r="N130" s="64" t="s">
        <v>129</v>
      </c>
      <c r="O130" s="65">
        <v>1</v>
      </c>
      <c r="P130" s="66">
        <v>128.33000000000001</v>
      </c>
      <c r="Q130" s="66">
        <v>0</v>
      </c>
      <c r="R130" s="66">
        <v>0</v>
      </c>
      <c r="S130" s="59">
        <f t="shared" si="3"/>
        <v>128.33000000000001</v>
      </c>
      <c r="T130" s="58"/>
      <c r="U130" s="7"/>
      <c r="V130" s="62"/>
    </row>
    <row r="131" spans="1:22" x14ac:dyDescent="0.3">
      <c r="A131" s="61"/>
      <c r="B131" s="61"/>
      <c r="C131" s="61"/>
      <c r="D131" s="63"/>
      <c r="E131" s="64" t="s">
        <v>130</v>
      </c>
      <c r="F131" s="65">
        <v>1</v>
      </c>
      <c r="G131" s="66">
        <v>87.41</v>
      </c>
      <c r="H131" s="66">
        <v>0</v>
      </c>
      <c r="I131" s="66">
        <v>0</v>
      </c>
      <c r="J131" s="59">
        <f t="shared" si="2"/>
        <v>87.41</v>
      </c>
      <c r="K131" s="58"/>
      <c r="L131" s="58"/>
      <c r="M131" s="62"/>
      <c r="N131" s="64" t="s">
        <v>130</v>
      </c>
      <c r="O131" s="65">
        <v>1</v>
      </c>
      <c r="P131" s="66">
        <v>87.41</v>
      </c>
      <c r="Q131" s="66">
        <v>0</v>
      </c>
      <c r="R131" s="66">
        <v>0</v>
      </c>
      <c r="S131" s="59">
        <f t="shared" si="3"/>
        <v>87.41</v>
      </c>
      <c r="T131" s="58"/>
      <c r="U131" s="7"/>
      <c r="V131" s="62"/>
    </row>
    <row r="132" spans="1:22" x14ac:dyDescent="0.3">
      <c r="A132" s="61"/>
      <c r="B132" s="61"/>
      <c r="C132" s="61"/>
      <c r="D132" s="63"/>
      <c r="E132" s="64" t="s">
        <v>131</v>
      </c>
      <c r="F132" s="65">
        <v>1</v>
      </c>
      <c r="G132" s="66">
        <v>261.68</v>
      </c>
      <c r="H132" s="66">
        <v>0</v>
      </c>
      <c r="I132" s="66">
        <v>0</v>
      </c>
      <c r="J132" s="59">
        <f t="shared" si="2"/>
        <v>261.68</v>
      </c>
      <c r="K132" s="58"/>
      <c r="L132" s="58"/>
      <c r="M132" s="62"/>
      <c r="N132" s="64" t="s">
        <v>131</v>
      </c>
      <c r="O132" s="65">
        <v>1</v>
      </c>
      <c r="P132" s="66">
        <v>261.68</v>
      </c>
      <c r="Q132" s="66">
        <v>0</v>
      </c>
      <c r="R132" s="66">
        <v>0</v>
      </c>
      <c r="S132" s="59">
        <f t="shared" si="3"/>
        <v>261.68</v>
      </c>
      <c r="T132" s="58"/>
      <c r="U132" s="7"/>
      <c r="V132" s="62"/>
    </row>
    <row r="133" spans="1:22" x14ac:dyDescent="0.3">
      <c r="A133" s="61"/>
      <c r="B133" s="61"/>
      <c r="C133" s="61"/>
      <c r="D133" s="63"/>
      <c r="E133" s="64" t="s">
        <v>142</v>
      </c>
      <c r="F133" s="65">
        <v>1</v>
      </c>
      <c r="G133" s="66">
        <v>214.5</v>
      </c>
      <c r="H133" s="66">
        <v>0</v>
      </c>
      <c r="I133" s="66">
        <v>0</v>
      </c>
      <c r="J133" s="59">
        <f t="shared" si="2"/>
        <v>214.5</v>
      </c>
      <c r="K133" s="58"/>
      <c r="L133" s="58"/>
      <c r="M133" s="62"/>
      <c r="N133" s="64" t="s">
        <v>142</v>
      </c>
      <c r="O133" s="65">
        <v>1</v>
      </c>
      <c r="P133" s="66">
        <v>214.5</v>
      </c>
      <c r="Q133" s="66">
        <v>0</v>
      </c>
      <c r="R133" s="66">
        <v>0</v>
      </c>
      <c r="S133" s="59">
        <f t="shared" si="3"/>
        <v>214.5</v>
      </c>
      <c r="T133" s="58"/>
      <c r="U133" s="7"/>
      <c r="V133" s="62"/>
    </row>
    <row r="134" spans="1:22" x14ac:dyDescent="0.3">
      <c r="A134" s="61"/>
      <c r="B134" s="61"/>
      <c r="C134" s="61"/>
      <c r="D134" s="63"/>
      <c r="E134" s="64" t="s">
        <v>143</v>
      </c>
      <c r="F134" s="65">
        <v>1</v>
      </c>
      <c r="G134" s="66">
        <v>44.2</v>
      </c>
      <c r="H134" s="66">
        <v>0</v>
      </c>
      <c r="I134" s="66">
        <v>0</v>
      </c>
      <c r="J134" s="59">
        <f t="shared" si="2"/>
        <v>44.2</v>
      </c>
      <c r="K134" s="58"/>
      <c r="L134" s="58"/>
      <c r="M134" s="62"/>
      <c r="N134" s="64" t="s">
        <v>143</v>
      </c>
      <c r="O134" s="65">
        <v>1</v>
      </c>
      <c r="P134" s="66">
        <v>44.2</v>
      </c>
      <c r="Q134" s="66">
        <v>0</v>
      </c>
      <c r="R134" s="66">
        <v>0</v>
      </c>
      <c r="S134" s="59">
        <f t="shared" si="3"/>
        <v>44.2</v>
      </c>
      <c r="T134" s="58"/>
      <c r="U134" s="7"/>
      <c r="V134" s="62"/>
    </row>
    <row r="135" spans="1:22" x14ac:dyDescent="0.3">
      <c r="A135" s="61"/>
      <c r="B135" s="61"/>
      <c r="C135" s="61"/>
      <c r="D135" s="63"/>
      <c r="E135" s="57"/>
      <c r="F135" s="58"/>
      <c r="G135" s="58"/>
      <c r="H135" s="58"/>
      <c r="I135" s="58"/>
      <c r="J135" s="67" t="s">
        <v>144</v>
      </c>
      <c r="K135" s="68">
        <f>SUM(J126:J134)*1</f>
        <v>3589.12</v>
      </c>
      <c r="L135" s="66">
        <f>1.93*1.06</f>
        <v>2.0499999999999998</v>
      </c>
      <c r="M135" s="69">
        <f>ROUND(K135*L135,2)</f>
        <v>7357.7</v>
      </c>
      <c r="N135" s="57"/>
      <c r="O135" s="58"/>
      <c r="P135" s="58"/>
      <c r="Q135" s="58"/>
      <c r="R135" s="58"/>
      <c r="S135" s="67" t="s">
        <v>144</v>
      </c>
      <c r="T135" s="68">
        <f>SUM(S126:S134)*1</f>
        <v>3589.12</v>
      </c>
      <c r="U135" s="9">
        <v>0</v>
      </c>
      <c r="V135" s="69">
        <f>ROUND(T135*U135,2)</f>
        <v>0</v>
      </c>
    </row>
    <row r="136" spans="1:22" ht="1.2" customHeight="1" x14ac:dyDescent="0.3">
      <c r="A136" s="70"/>
      <c r="B136" s="70"/>
      <c r="C136" s="70"/>
      <c r="D136" s="71"/>
      <c r="E136" s="72"/>
      <c r="F136" s="73"/>
      <c r="G136" s="73"/>
      <c r="H136" s="73"/>
      <c r="I136" s="73"/>
      <c r="J136" s="73"/>
      <c r="K136" s="73"/>
      <c r="L136" s="73"/>
      <c r="M136" s="74"/>
      <c r="N136" s="72"/>
      <c r="O136" s="73"/>
      <c r="P136" s="73"/>
      <c r="Q136" s="73"/>
      <c r="R136" s="73"/>
      <c r="S136" s="73"/>
      <c r="T136" s="73"/>
      <c r="U136" s="11"/>
      <c r="V136" s="74"/>
    </row>
    <row r="137" spans="1:22" x14ac:dyDescent="0.3">
      <c r="A137" s="61"/>
      <c r="B137" s="61"/>
      <c r="C137" s="61"/>
      <c r="D137" s="63"/>
      <c r="E137" s="57"/>
      <c r="F137" s="58"/>
      <c r="G137" s="58"/>
      <c r="H137" s="58"/>
      <c r="I137" s="58"/>
      <c r="J137" s="67" t="s">
        <v>145</v>
      </c>
      <c r="K137" s="66">
        <v>1</v>
      </c>
      <c r="L137" s="68">
        <f>M124</f>
        <v>7357.7</v>
      </c>
      <c r="M137" s="69">
        <f>ROUND(K137*L137,2)</f>
        <v>7357.7</v>
      </c>
      <c r="N137" s="57"/>
      <c r="O137" s="58"/>
      <c r="P137" s="58"/>
      <c r="Q137" s="58"/>
      <c r="R137" s="58"/>
      <c r="S137" s="67" t="s">
        <v>145</v>
      </c>
      <c r="T137" s="66">
        <v>1</v>
      </c>
      <c r="U137" s="10">
        <f>V124</f>
        <v>0</v>
      </c>
      <c r="V137" s="69">
        <f>ROUND(T137*U137,2)</f>
        <v>0</v>
      </c>
    </row>
    <row r="138" spans="1:22" ht="1.2" customHeight="1" x14ac:dyDescent="0.3">
      <c r="A138" s="70"/>
      <c r="B138" s="70"/>
      <c r="C138" s="70"/>
      <c r="D138" s="71"/>
      <c r="E138" s="72"/>
      <c r="F138" s="73"/>
      <c r="G138" s="73"/>
      <c r="H138" s="73"/>
      <c r="I138" s="73"/>
      <c r="J138" s="73"/>
      <c r="K138" s="73"/>
      <c r="L138" s="73"/>
      <c r="M138" s="74"/>
      <c r="N138" s="72"/>
      <c r="O138" s="73"/>
      <c r="P138" s="73"/>
      <c r="Q138" s="73"/>
      <c r="R138" s="73"/>
      <c r="S138" s="73"/>
      <c r="T138" s="73"/>
      <c r="U138" s="11"/>
      <c r="V138" s="74"/>
    </row>
    <row r="139" spans="1:22" x14ac:dyDescent="0.3">
      <c r="A139" s="61"/>
      <c r="B139" s="61"/>
      <c r="C139" s="61"/>
      <c r="D139" s="63"/>
      <c r="E139" s="57"/>
      <c r="F139" s="58"/>
      <c r="G139" s="58"/>
      <c r="H139" s="58"/>
      <c r="I139" s="58"/>
      <c r="J139" s="67" t="s">
        <v>146</v>
      </c>
      <c r="K139" s="66">
        <v>1</v>
      </c>
      <c r="L139" s="68">
        <f>M93+M102+M111+M123</f>
        <v>14604.49</v>
      </c>
      <c r="M139" s="69">
        <f>ROUND(K139*L139,2)</f>
        <v>14604.49</v>
      </c>
      <c r="N139" s="57"/>
      <c r="O139" s="58"/>
      <c r="P139" s="58"/>
      <c r="Q139" s="58"/>
      <c r="R139" s="58"/>
      <c r="S139" s="67" t="s">
        <v>146</v>
      </c>
      <c r="T139" s="66">
        <v>1</v>
      </c>
      <c r="U139" s="10">
        <f>V93+V102+V111+V123</f>
        <v>0</v>
      </c>
      <c r="V139" s="69">
        <f>ROUND(T139*U139,2)</f>
        <v>0</v>
      </c>
    </row>
    <row r="140" spans="1:22" ht="1.2" customHeight="1" x14ac:dyDescent="0.3">
      <c r="A140" s="70"/>
      <c r="B140" s="70"/>
      <c r="C140" s="70"/>
      <c r="D140" s="71"/>
      <c r="E140" s="72"/>
      <c r="F140" s="73"/>
      <c r="G140" s="73"/>
      <c r="H140" s="73"/>
      <c r="I140" s="73"/>
      <c r="J140" s="73"/>
      <c r="K140" s="73"/>
      <c r="L140" s="73"/>
      <c r="M140" s="74"/>
      <c r="N140" s="72"/>
      <c r="O140" s="73"/>
      <c r="P140" s="73"/>
      <c r="Q140" s="73"/>
      <c r="R140" s="73"/>
      <c r="S140" s="73"/>
      <c r="T140" s="73"/>
      <c r="U140" s="11"/>
      <c r="V140" s="74"/>
    </row>
    <row r="141" spans="1:22" x14ac:dyDescent="0.3">
      <c r="A141" s="48" t="s">
        <v>147</v>
      </c>
      <c r="B141" s="48" t="s">
        <v>16</v>
      </c>
      <c r="C141" s="48" t="s">
        <v>17</v>
      </c>
      <c r="D141" s="49" t="s">
        <v>148</v>
      </c>
      <c r="E141" s="50"/>
      <c r="F141" s="51"/>
      <c r="G141" s="51"/>
      <c r="H141" s="51"/>
      <c r="I141" s="51"/>
      <c r="J141" s="51"/>
      <c r="K141" s="52">
        <f>K154</f>
        <v>1</v>
      </c>
      <c r="L141" s="52">
        <f>L154</f>
        <v>11414.35</v>
      </c>
      <c r="M141" s="53">
        <f>M154</f>
        <v>11414.35</v>
      </c>
      <c r="N141" s="50"/>
      <c r="O141" s="51"/>
      <c r="P141" s="51"/>
      <c r="Q141" s="51"/>
      <c r="R141" s="51"/>
      <c r="S141" s="51"/>
      <c r="T141" s="52">
        <f>T154</f>
        <v>1</v>
      </c>
      <c r="U141" s="6">
        <f>U154</f>
        <v>0</v>
      </c>
      <c r="V141" s="53">
        <f>V154</f>
        <v>0</v>
      </c>
    </row>
    <row r="142" spans="1:22" x14ac:dyDescent="0.3">
      <c r="A142" s="75" t="s">
        <v>149</v>
      </c>
      <c r="B142" s="75" t="s">
        <v>16</v>
      </c>
      <c r="C142" s="75" t="s">
        <v>17</v>
      </c>
      <c r="D142" s="76" t="s">
        <v>150</v>
      </c>
      <c r="E142" s="77"/>
      <c r="F142" s="78"/>
      <c r="G142" s="78"/>
      <c r="H142" s="78"/>
      <c r="I142" s="78"/>
      <c r="J142" s="78"/>
      <c r="K142" s="79">
        <f>K152</f>
        <v>1</v>
      </c>
      <c r="L142" s="79">
        <f>L152</f>
        <v>11414.35</v>
      </c>
      <c r="M142" s="80">
        <f>M152</f>
        <v>11414.35</v>
      </c>
      <c r="N142" s="77"/>
      <c r="O142" s="78"/>
      <c r="P142" s="78"/>
      <c r="Q142" s="78"/>
      <c r="R142" s="78"/>
      <c r="S142" s="78"/>
      <c r="T142" s="79">
        <f>T152</f>
        <v>1</v>
      </c>
      <c r="U142" s="12">
        <f>U152</f>
        <v>0</v>
      </c>
      <c r="V142" s="80">
        <f>V152</f>
        <v>0</v>
      </c>
    </row>
    <row r="143" spans="1:22" x14ac:dyDescent="0.3">
      <c r="A143" s="54" t="s">
        <v>151</v>
      </c>
      <c r="B143" s="55" t="s">
        <v>32</v>
      </c>
      <c r="C143" s="55" t="s">
        <v>137</v>
      </c>
      <c r="D143" s="56" t="s">
        <v>152</v>
      </c>
      <c r="E143" s="57"/>
      <c r="F143" s="58"/>
      <c r="G143" s="58"/>
      <c r="H143" s="58"/>
      <c r="I143" s="58"/>
      <c r="J143" s="58"/>
      <c r="K143" s="59">
        <f>K150</f>
        <v>2570.8000000000002</v>
      </c>
      <c r="L143" s="59">
        <f>L150</f>
        <v>4.4400000000000004</v>
      </c>
      <c r="M143" s="60">
        <f>M150</f>
        <v>11414.35</v>
      </c>
      <c r="N143" s="57"/>
      <c r="O143" s="58"/>
      <c r="P143" s="58"/>
      <c r="Q143" s="58"/>
      <c r="R143" s="58"/>
      <c r="S143" s="58"/>
      <c r="T143" s="59">
        <f>T150</f>
        <v>2570.8000000000002</v>
      </c>
      <c r="U143" s="8">
        <f>U150</f>
        <v>0</v>
      </c>
      <c r="V143" s="60">
        <f>V150</f>
        <v>0</v>
      </c>
    </row>
    <row r="144" spans="1:22" ht="91.8" x14ac:dyDescent="0.3">
      <c r="A144" s="61"/>
      <c r="B144" s="61"/>
      <c r="C144" s="61"/>
      <c r="D144" s="56" t="s">
        <v>153</v>
      </c>
      <c r="E144" s="57"/>
      <c r="F144" s="58"/>
      <c r="G144" s="58"/>
      <c r="H144" s="58"/>
      <c r="I144" s="58"/>
      <c r="J144" s="58"/>
      <c r="K144" s="58"/>
      <c r="L144" s="58"/>
      <c r="M144" s="62"/>
      <c r="N144" s="57"/>
      <c r="O144" s="58"/>
      <c r="P144" s="58"/>
      <c r="Q144" s="58"/>
      <c r="R144" s="58"/>
      <c r="S144" s="58"/>
      <c r="T144" s="58"/>
      <c r="U144" s="7"/>
      <c r="V144" s="62"/>
    </row>
    <row r="145" spans="1:22" x14ac:dyDescent="0.3">
      <c r="A145" s="61"/>
      <c r="B145" s="61"/>
      <c r="C145" s="61"/>
      <c r="D145" s="63"/>
      <c r="E145" s="64" t="s">
        <v>154</v>
      </c>
      <c r="F145" s="65">
        <v>0</v>
      </c>
      <c r="G145" s="66">
        <v>445.54</v>
      </c>
      <c r="H145" s="66">
        <v>0</v>
      </c>
      <c r="I145" s="66">
        <v>0</v>
      </c>
      <c r="J145" s="59">
        <f>OR(F145&lt;&gt;0,G145&lt;&gt;0,H145&lt;&gt;0,I145&lt;&gt;0)*(F145 + (F145 = 0))*(G145 + (G145 = 0))*(H145 + (H145 = 0))*(I145 + (I145 = 0))</f>
        <v>445.54</v>
      </c>
      <c r="K145" s="58"/>
      <c r="L145" s="58"/>
      <c r="M145" s="62"/>
      <c r="N145" s="64" t="s">
        <v>154</v>
      </c>
      <c r="O145" s="65">
        <v>0</v>
      </c>
      <c r="P145" s="66">
        <v>445.54</v>
      </c>
      <c r="Q145" s="66">
        <v>0</v>
      </c>
      <c r="R145" s="66">
        <v>0</v>
      </c>
      <c r="S145" s="59">
        <f>OR(O145&lt;&gt;0,P145&lt;&gt;0,Q145&lt;&gt;0,R145&lt;&gt;0)*(O145 + (O145 = 0))*(P145 + (P145 = 0))*(Q145 + (Q145 = 0))*(R145 + (R145 = 0))</f>
        <v>445.54</v>
      </c>
      <c r="T145" s="58"/>
      <c r="U145" s="7"/>
      <c r="V145" s="62"/>
    </row>
    <row r="146" spans="1:22" x14ac:dyDescent="0.3">
      <c r="A146" s="61"/>
      <c r="B146" s="61"/>
      <c r="C146" s="61"/>
      <c r="D146" s="63"/>
      <c r="E146" s="64" t="s">
        <v>155</v>
      </c>
      <c r="F146" s="65">
        <v>0</v>
      </c>
      <c r="G146" s="66">
        <v>13.74</v>
      </c>
      <c r="H146" s="66">
        <v>0</v>
      </c>
      <c r="I146" s="66">
        <v>0</v>
      </c>
      <c r="J146" s="59">
        <f>OR(F146&lt;&gt;0,G146&lt;&gt;0,H146&lt;&gt;0,I146&lt;&gt;0)*(F146 + (F146 = 0))*(G146 + (G146 = 0))*(H146 + (H146 = 0))*(I146 + (I146 = 0))</f>
        <v>13.74</v>
      </c>
      <c r="K146" s="58"/>
      <c r="L146" s="58"/>
      <c r="M146" s="62"/>
      <c r="N146" s="64" t="s">
        <v>155</v>
      </c>
      <c r="O146" s="65">
        <v>0</v>
      </c>
      <c r="P146" s="66">
        <v>13.74</v>
      </c>
      <c r="Q146" s="66">
        <v>0</v>
      </c>
      <c r="R146" s="66">
        <v>0</v>
      </c>
      <c r="S146" s="59">
        <f>OR(O146&lt;&gt;0,P146&lt;&gt;0,Q146&lt;&gt;0,R146&lt;&gt;0)*(O146 + (O146 = 0))*(P146 + (P146 = 0))*(Q146 + (Q146 = 0))*(R146 + (R146 = 0))</f>
        <v>13.74</v>
      </c>
      <c r="T146" s="58"/>
      <c r="U146" s="7"/>
      <c r="V146" s="62"/>
    </row>
    <row r="147" spans="1:22" x14ac:dyDescent="0.3">
      <c r="A147" s="61"/>
      <c r="B147" s="61"/>
      <c r="C147" s="61"/>
      <c r="D147" s="63"/>
      <c r="E147" s="64" t="s">
        <v>156</v>
      </c>
      <c r="F147" s="65">
        <v>0</v>
      </c>
      <c r="G147" s="66">
        <v>601.73</v>
      </c>
      <c r="H147" s="66">
        <v>0</v>
      </c>
      <c r="I147" s="66">
        <v>0</v>
      </c>
      <c r="J147" s="59">
        <f>OR(F147&lt;&gt;0,G147&lt;&gt;0,H147&lt;&gt;0,I147&lt;&gt;0)*(F147 + (F147 = 0))*(G147 + (G147 = 0))*(H147 + (H147 = 0))*(I147 + (I147 = 0))</f>
        <v>601.73</v>
      </c>
      <c r="K147" s="58"/>
      <c r="L147" s="58"/>
      <c r="M147" s="62"/>
      <c r="N147" s="64" t="s">
        <v>156</v>
      </c>
      <c r="O147" s="65">
        <v>0</v>
      </c>
      <c r="P147" s="66">
        <v>601.73</v>
      </c>
      <c r="Q147" s="66">
        <v>0</v>
      </c>
      <c r="R147" s="66">
        <v>0</v>
      </c>
      <c r="S147" s="59">
        <f>OR(O147&lt;&gt;0,P147&lt;&gt;0,Q147&lt;&gt;0,R147&lt;&gt;0)*(O147 + (O147 = 0))*(P147 + (P147 = 0))*(Q147 + (Q147 = 0))*(R147 + (R147 = 0))</f>
        <v>601.73</v>
      </c>
      <c r="T147" s="58"/>
      <c r="U147" s="7"/>
      <c r="V147" s="62"/>
    </row>
    <row r="148" spans="1:22" x14ac:dyDescent="0.3">
      <c r="A148" s="61"/>
      <c r="B148" s="61"/>
      <c r="C148" s="61"/>
      <c r="D148" s="63"/>
      <c r="E148" s="64" t="s">
        <v>157</v>
      </c>
      <c r="F148" s="65">
        <v>0</v>
      </c>
      <c r="G148" s="66">
        <v>1494.48</v>
      </c>
      <c r="H148" s="66">
        <v>0</v>
      </c>
      <c r="I148" s="66">
        <v>0</v>
      </c>
      <c r="J148" s="59">
        <f>OR(F148&lt;&gt;0,G148&lt;&gt;0,H148&lt;&gt;0,I148&lt;&gt;0)*(F148 + (F148 = 0))*(G148 + (G148 = 0))*(H148 + (H148 = 0))*(I148 + (I148 = 0))</f>
        <v>1494.48</v>
      </c>
      <c r="K148" s="58"/>
      <c r="L148" s="58"/>
      <c r="M148" s="62"/>
      <c r="N148" s="64" t="s">
        <v>157</v>
      </c>
      <c r="O148" s="65">
        <v>0</v>
      </c>
      <c r="P148" s="66">
        <v>1494.48</v>
      </c>
      <c r="Q148" s="66">
        <v>0</v>
      </c>
      <c r="R148" s="66">
        <v>0</v>
      </c>
      <c r="S148" s="59">
        <f>OR(O148&lt;&gt;0,P148&lt;&gt;0,Q148&lt;&gt;0,R148&lt;&gt;0)*(O148 + (O148 = 0))*(P148 + (P148 = 0))*(Q148 + (Q148 = 0))*(R148 + (R148 = 0))</f>
        <v>1494.48</v>
      </c>
      <c r="T148" s="58"/>
      <c r="U148" s="7"/>
      <c r="V148" s="62"/>
    </row>
    <row r="149" spans="1:22" x14ac:dyDescent="0.3">
      <c r="A149" s="61"/>
      <c r="B149" s="61"/>
      <c r="C149" s="61"/>
      <c r="D149" s="63"/>
      <c r="E149" s="64" t="s">
        <v>158</v>
      </c>
      <c r="F149" s="65">
        <v>0</v>
      </c>
      <c r="G149" s="66">
        <v>15.31</v>
      </c>
      <c r="H149" s="66">
        <v>0</v>
      </c>
      <c r="I149" s="66">
        <v>0</v>
      </c>
      <c r="J149" s="59">
        <f>OR(F149&lt;&gt;0,G149&lt;&gt;0,H149&lt;&gt;0,I149&lt;&gt;0)*(F149 + (F149 = 0))*(G149 + (G149 = 0))*(H149 + (H149 = 0))*(I149 + (I149 = 0))</f>
        <v>15.31</v>
      </c>
      <c r="K149" s="58"/>
      <c r="L149" s="58"/>
      <c r="M149" s="62"/>
      <c r="N149" s="64" t="s">
        <v>158</v>
      </c>
      <c r="O149" s="65">
        <v>0</v>
      </c>
      <c r="P149" s="66">
        <v>15.31</v>
      </c>
      <c r="Q149" s="66">
        <v>0</v>
      </c>
      <c r="R149" s="66">
        <v>0</v>
      </c>
      <c r="S149" s="59">
        <f>OR(O149&lt;&gt;0,P149&lt;&gt;0,Q149&lt;&gt;0,R149&lt;&gt;0)*(O149 + (O149 = 0))*(P149 + (P149 = 0))*(Q149 + (Q149 = 0))*(R149 + (R149 = 0))</f>
        <v>15.31</v>
      </c>
      <c r="T149" s="58"/>
      <c r="U149" s="7"/>
      <c r="V149" s="62"/>
    </row>
    <row r="150" spans="1:22" x14ac:dyDescent="0.3">
      <c r="A150" s="61"/>
      <c r="B150" s="61"/>
      <c r="C150" s="61"/>
      <c r="D150" s="63"/>
      <c r="E150" s="57"/>
      <c r="F150" s="58"/>
      <c r="G150" s="58"/>
      <c r="H150" s="58"/>
      <c r="I150" s="58"/>
      <c r="J150" s="67" t="s">
        <v>159</v>
      </c>
      <c r="K150" s="68">
        <f>SUM(J145:J149)*1</f>
        <v>2570.8000000000002</v>
      </c>
      <c r="L150" s="66">
        <f>4.19*1.06</f>
        <v>4.4400000000000004</v>
      </c>
      <c r="M150" s="69">
        <f>ROUND(K150*L150,2)</f>
        <v>11414.35</v>
      </c>
      <c r="N150" s="57"/>
      <c r="O150" s="58"/>
      <c r="P150" s="58"/>
      <c r="Q150" s="58"/>
      <c r="R150" s="58"/>
      <c r="S150" s="67" t="s">
        <v>159</v>
      </c>
      <c r="T150" s="68">
        <f>SUM(S145:S149)*1</f>
        <v>2570.8000000000002</v>
      </c>
      <c r="U150" s="9">
        <v>0</v>
      </c>
      <c r="V150" s="69">
        <f>ROUND(T150*U150,2)</f>
        <v>0</v>
      </c>
    </row>
    <row r="151" spans="1:22" ht="1.2" customHeight="1" x14ac:dyDescent="0.3">
      <c r="A151" s="70"/>
      <c r="B151" s="70"/>
      <c r="C151" s="70"/>
      <c r="D151" s="71"/>
      <c r="E151" s="72"/>
      <c r="F151" s="73"/>
      <c r="G151" s="73"/>
      <c r="H151" s="73"/>
      <c r="I151" s="73"/>
      <c r="J151" s="73"/>
      <c r="K151" s="73"/>
      <c r="L151" s="73"/>
      <c r="M151" s="74"/>
      <c r="N151" s="72"/>
      <c r="O151" s="73"/>
      <c r="P151" s="73"/>
      <c r="Q151" s="73"/>
      <c r="R151" s="73"/>
      <c r="S151" s="73"/>
      <c r="T151" s="73"/>
      <c r="U151" s="11"/>
      <c r="V151" s="74"/>
    </row>
    <row r="152" spans="1:22" x14ac:dyDescent="0.3">
      <c r="A152" s="61"/>
      <c r="B152" s="61"/>
      <c r="C152" s="61"/>
      <c r="D152" s="63"/>
      <c r="E152" s="57"/>
      <c r="F152" s="58"/>
      <c r="G152" s="58"/>
      <c r="H152" s="58"/>
      <c r="I152" s="58"/>
      <c r="J152" s="67" t="s">
        <v>160</v>
      </c>
      <c r="K152" s="66">
        <v>1</v>
      </c>
      <c r="L152" s="68">
        <f>M143</f>
        <v>11414.35</v>
      </c>
      <c r="M152" s="69">
        <f>ROUND(K152*L152,2)</f>
        <v>11414.35</v>
      </c>
      <c r="N152" s="57"/>
      <c r="O152" s="58"/>
      <c r="P152" s="58"/>
      <c r="Q152" s="58"/>
      <c r="R152" s="58"/>
      <c r="S152" s="67" t="s">
        <v>160</v>
      </c>
      <c r="T152" s="66">
        <v>1</v>
      </c>
      <c r="U152" s="10">
        <f>V143</f>
        <v>0</v>
      </c>
      <c r="V152" s="69">
        <f>ROUND(T152*U152,2)</f>
        <v>0</v>
      </c>
    </row>
    <row r="153" spans="1:22" ht="1.2" customHeight="1" x14ac:dyDescent="0.3">
      <c r="A153" s="70"/>
      <c r="B153" s="70"/>
      <c r="C153" s="70"/>
      <c r="D153" s="71"/>
      <c r="E153" s="72"/>
      <c r="F153" s="73"/>
      <c r="G153" s="73"/>
      <c r="H153" s="73"/>
      <c r="I153" s="73"/>
      <c r="J153" s="73"/>
      <c r="K153" s="73"/>
      <c r="L153" s="73"/>
      <c r="M153" s="74"/>
      <c r="N153" s="72"/>
      <c r="O153" s="73"/>
      <c r="P153" s="73"/>
      <c r="Q153" s="73"/>
      <c r="R153" s="73"/>
      <c r="S153" s="73"/>
      <c r="T153" s="73"/>
      <c r="U153" s="11"/>
      <c r="V153" s="74"/>
    </row>
    <row r="154" spans="1:22" x14ac:dyDescent="0.3">
      <c r="A154" s="61"/>
      <c r="B154" s="61"/>
      <c r="C154" s="61"/>
      <c r="D154" s="63"/>
      <c r="E154" s="57"/>
      <c r="F154" s="58"/>
      <c r="G154" s="58"/>
      <c r="H154" s="58"/>
      <c r="I154" s="58"/>
      <c r="J154" s="67" t="s">
        <v>161</v>
      </c>
      <c r="K154" s="66">
        <v>1</v>
      </c>
      <c r="L154" s="68">
        <f>M142</f>
        <v>11414.35</v>
      </c>
      <c r="M154" s="69">
        <f>ROUND(K154*L154,2)</f>
        <v>11414.35</v>
      </c>
      <c r="N154" s="57"/>
      <c r="O154" s="58"/>
      <c r="P154" s="58"/>
      <c r="Q154" s="58"/>
      <c r="R154" s="58"/>
      <c r="S154" s="67" t="s">
        <v>161</v>
      </c>
      <c r="T154" s="66">
        <v>1</v>
      </c>
      <c r="U154" s="10">
        <f>V142</f>
        <v>0</v>
      </c>
      <c r="V154" s="69">
        <f>ROUND(T154*U154,2)</f>
        <v>0</v>
      </c>
    </row>
    <row r="155" spans="1:22" ht="1.2" customHeight="1" x14ac:dyDescent="0.3">
      <c r="A155" s="70"/>
      <c r="B155" s="70"/>
      <c r="C155" s="70"/>
      <c r="D155" s="71"/>
      <c r="E155" s="72"/>
      <c r="F155" s="73"/>
      <c r="G155" s="73"/>
      <c r="H155" s="73"/>
      <c r="I155" s="73"/>
      <c r="J155" s="73"/>
      <c r="K155" s="73"/>
      <c r="L155" s="73"/>
      <c r="M155" s="74"/>
      <c r="N155" s="72"/>
      <c r="O155" s="73"/>
      <c r="P155" s="73"/>
      <c r="Q155" s="73"/>
      <c r="R155" s="73"/>
      <c r="S155" s="73"/>
      <c r="T155" s="73"/>
      <c r="U155" s="11"/>
      <c r="V155" s="74"/>
    </row>
    <row r="156" spans="1:22" x14ac:dyDescent="0.3">
      <c r="A156" s="61"/>
      <c r="B156" s="61"/>
      <c r="C156" s="61"/>
      <c r="D156" s="63"/>
      <c r="E156" s="57"/>
      <c r="F156" s="58"/>
      <c r="G156" s="58"/>
      <c r="H156" s="58"/>
      <c r="I156" s="58"/>
      <c r="J156" s="67" t="s">
        <v>162</v>
      </c>
      <c r="K156" s="66">
        <v>1</v>
      </c>
      <c r="L156" s="68">
        <f>M56+M92+M141</f>
        <v>29198.36</v>
      </c>
      <c r="M156" s="69">
        <f>ROUND(K156*L156,2)</f>
        <v>29198.36</v>
      </c>
      <c r="N156" s="57"/>
      <c r="O156" s="58"/>
      <c r="P156" s="58"/>
      <c r="Q156" s="58"/>
      <c r="R156" s="58"/>
      <c r="S156" s="67" t="s">
        <v>162</v>
      </c>
      <c r="T156" s="66">
        <v>1</v>
      </c>
      <c r="U156" s="10">
        <f>V56+V92+V141</f>
        <v>0</v>
      </c>
      <c r="V156" s="69">
        <f>ROUND(T156*U156,2)</f>
        <v>0</v>
      </c>
    </row>
    <row r="157" spans="1:22" ht="1.2" customHeight="1" x14ac:dyDescent="0.3">
      <c r="A157" s="70"/>
      <c r="B157" s="70"/>
      <c r="C157" s="70"/>
      <c r="D157" s="71"/>
      <c r="E157" s="72"/>
      <c r="F157" s="73"/>
      <c r="G157" s="73"/>
      <c r="H157" s="73"/>
      <c r="I157" s="73"/>
      <c r="J157" s="73"/>
      <c r="K157" s="73"/>
      <c r="L157" s="73"/>
      <c r="M157" s="74"/>
      <c r="N157" s="72"/>
      <c r="O157" s="73"/>
      <c r="P157" s="73"/>
      <c r="Q157" s="73"/>
      <c r="R157" s="73"/>
      <c r="S157" s="73"/>
      <c r="T157" s="73"/>
      <c r="U157" s="11"/>
      <c r="V157" s="74"/>
    </row>
    <row r="158" spans="1:22" x14ac:dyDescent="0.3">
      <c r="A158" s="42" t="s">
        <v>163</v>
      </c>
      <c r="B158" s="42" t="s">
        <v>16</v>
      </c>
      <c r="C158" s="42" t="s">
        <v>17</v>
      </c>
      <c r="D158" s="43" t="s">
        <v>164</v>
      </c>
      <c r="E158" s="44"/>
      <c r="F158" s="45"/>
      <c r="G158" s="45"/>
      <c r="H158" s="45"/>
      <c r="I158" s="45"/>
      <c r="J158" s="45"/>
      <c r="K158" s="46">
        <f>K164</f>
        <v>1</v>
      </c>
      <c r="L158" s="46">
        <f>L164</f>
        <v>18158.91</v>
      </c>
      <c r="M158" s="47">
        <f>M164</f>
        <v>18158.91</v>
      </c>
      <c r="N158" s="44"/>
      <c r="O158" s="45"/>
      <c r="P158" s="45"/>
      <c r="Q158" s="45"/>
      <c r="R158" s="45"/>
      <c r="S158" s="45"/>
      <c r="T158" s="46">
        <f>T164</f>
        <v>1</v>
      </c>
      <c r="U158" s="5">
        <f>U164</f>
        <v>0</v>
      </c>
      <c r="V158" s="47">
        <f>V164</f>
        <v>0</v>
      </c>
    </row>
    <row r="159" spans="1:22" x14ac:dyDescent="0.3">
      <c r="A159" s="54" t="s">
        <v>165</v>
      </c>
      <c r="B159" s="55" t="s">
        <v>32</v>
      </c>
      <c r="C159" s="55" t="s">
        <v>33</v>
      </c>
      <c r="D159" s="56" t="s">
        <v>166</v>
      </c>
      <c r="E159" s="57"/>
      <c r="F159" s="58"/>
      <c r="G159" s="58"/>
      <c r="H159" s="58"/>
      <c r="I159" s="58"/>
      <c r="J159" s="58"/>
      <c r="K159" s="59">
        <f>K162</f>
        <v>392.88</v>
      </c>
      <c r="L159" s="59">
        <f>L162</f>
        <v>46.22</v>
      </c>
      <c r="M159" s="60">
        <f>M162</f>
        <v>18158.91</v>
      </c>
      <c r="N159" s="57"/>
      <c r="O159" s="58"/>
      <c r="P159" s="58"/>
      <c r="Q159" s="58"/>
      <c r="R159" s="58"/>
      <c r="S159" s="58"/>
      <c r="T159" s="59">
        <f>T162</f>
        <v>392.88</v>
      </c>
      <c r="U159" s="8">
        <f>U162</f>
        <v>0</v>
      </c>
      <c r="V159" s="60">
        <f>V162</f>
        <v>0</v>
      </c>
    </row>
    <row r="160" spans="1:22" ht="61.2" x14ac:dyDescent="0.3">
      <c r="A160" s="61"/>
      <c r="B160" s="61"/>
      <c r="C160" s="61"/>
      <c r="D160" s="56" t="s">
        <v>167</v>
      </c>
      <c r="E160" s="57"/>
      <c r="F160" s="58"/>
      <c r="G160" s="58"/>
      <c r="H160" s="58"/>
      <c r="I160" s="58"/>
      <c r="J160" s="58"/>
      <c r="K160" s="58"/>
      <c r="L160" s="58"/>
      <c r="M160" s="62"/>
      <c r="N160" s="57"/>
      <c r="O160" s="58"/>
      <c r="P160" s="58"/>
      <c r="Q160" s="58"/>
      <c r="R160" s="58"/>
      <c r="S160" s="58"/>
      <c r="T160" s="58"/>
      <c r="U160" s="7"/>
      <c r="V160" s="62"/>
    </row>
    <row r="161" spans="1:22" x14ac:dyDescent="0.3">
      <c r="A161" s="61"/>
      <c r="B161" s="61"/>
      <c r="C161" s="61"/>
      <c r="D161" s="63"/>
      <c r="E161" s="64" t="s">
        <v>17</v>
      </c>
      <c r="F161" s="65">
        <v>1</v>
      </c>
      <c r="G161" s="66">
        <v>1</v>
      </c>
      <c r="H161" s="66">
        <v>2619.21</v>
      </c>
      <c r="I161" s="66">
        <v>0.15</v>
      </c>
      <c r="J161" s="59">
        <f>OR(F161&lt;&gt;0,G161&lt;&gt;0,H161&lt;&gt;0,I161&lt;&gt;0)*(F161 + (F161 = 0))*(G161 + (G161 = 0))*(H161 + (H161 = 0))*(I161 + (I161 = 0))</f>
        <v>392.88</v>
      </c>
      <c r="K161" s="58"/>
      <c r="L161" s="58"/>
      <c r="M161" s="62"/>
      <c r="N161" s="64" t="s">
        <v>17</v>
      </c>
      <c r="O161" s="65">
        <v>1</v>
      </c>
      <c r="P161" s="66">
        <v>1</v>
      </c>
      <c r="Q161" s="66">
        <v>2619.21</v>
      </c>
      <c r="R161" s="66">
        <v>0.15</v>
      </c>
      <c r="S161" s="59">
        <f>OR(O161&lt;&gt;0,P161&lt;&gt;0,Q161&lt;&gt;0,R161&lt;&gt;0)*(O161 + (O161 = 0))*(P161 + (P161 = 0))*(Q161 + (Q161 = 0))*(R161 + (R161 = 0))</f>
        <v>392.88</v>
      </c>
      <c r="T161" s="58"/>
      <c r="U161" s="7"/>
      <c r="V161" s="62"/>
    </row>
    <row r="162" spans="1:22" x14ac:dyDescent="0.3">
      <c r="A162" s="61"/>
      <c r="B162" s="61"/>
      <c r="C162" s="61"/>
      <c r="D162" s="63"/>
      <c r="E162" s="57"/>
      <c r="F162" s="58"/>
      <c r="G162" s="58"/>
      <c r="H162" s="58"/>
      <c r="I162" s="58"/>
      <c r="J162" s="67" t="s">
        <v>168</v>
      </c>
      <c r="K162" s="68">
        <f>J161*1</f>
        <v>392.88</v>
      </c>
      <c r="L162" s="66">
        <f>43.6*1.06</f>
        <v>46.22</v>
      </c>
      <c r="M162" s="69">
        <f>ROUND(K162*L162,2)</f>
        <v>18158.91</v>
      </c>
      <c r="N162" s="57"/>
      <c r="O162" s="58"/>
      <c r="P162" s="58"/>
      <c r="Q162" s="58"/>
      <c r="R162" s="58"/>
      <c r="S162" s="67" t="s">
        <v>168</v>
      </c>
      <c r="T162" s="68">
        <f>S161*1</f>
        <v>392.88</v>
      </c>
      <c r="U162" s="9">
        <v>0</v>
      </c>
      <c r="V162" s="69">
        <f>ROUND(T162*U162,2)</f>
        <v>0</v>
      </c>
    </row>
    <row r="163" spans="1:22" ht="1.2" customHeight="1" x14ac:dyDescent="0.3">
      <c r="A163" s="70"/>
      <c r="B163" s="70"/>
      <c r="C163" s="70"/>
      <c r="D163" s="71"/>
      <c r="E163" s="72"/>
      <c r="F163" s="73"/>
      <c r="G163" s="73"/>
      <c r="H163" s="73"/>
      <c r="I163" s="73"/>
      <c r="J163" s="73"/>
      <c r="K163" s="73"/>
      <c r="L163" s="73"/>
      <c r="M163" s="74"/>
      <c r="N163" s="72"/>
      <c r="O163" s="73"/>
      <c r="P163" s="73"/>
      <c r="Q163" s="73"/>
      <c r="R163" s="73"/>
      <c r="S163" s="73"/>
      <c r="T163" s="73"/>
      <c r="U163" s="11"/>
      <c r="V163" s="74"/>
    </row>
    <row r="164" spans="1:22" x14ac:dyDescent="0.3">
      <c r="A164" s="61"/>
      <c r="B164" s="61"/>
      <c r="C164" s="61"/>
      <c r="D164" s="63"/>
      <c r="E164" s="57"/>
      <c r="F164" s="58"/>
      <c r="G164" s="58"/>
      <c r="H164" s="58"/>
      <c r="I164" s="58"/>
      <c r="J164" s="67" t="s">
        <v>169</v>
      </c>
      <c r="K164" s="66">
        <v>1</v>
      </c>
      <c r="L164" s="68">
        <f>M159</f>
        <v>18158.91</v>
      </c>
      <c r="M164" s="69">
        <f>ROUND(K164*L164,2)</f>
        <v>18158.91</v>
      </c>
      <c r="N164" s="57"/>
      <c r="O164" s="58"/>
      <c r="P164" s="58"/>
      <c r="Q164" s="58"/>
      <c r="R164" s="58"/>
      <c r="S164" s="67" t="s">
        <v>169</v>
      </c>
      <c r="T164" s="66">
        <v>1</v>
      </c>
      <c r="U164" s="10">
        <f>V159</f>
        <v>0</v>
      </c>
      <c r="V164" s="69">
        <f>ROUND(T164*U164,2)</f>
        <v>0</v>
      </c>
    </row>
    <row r="165" spans="1:22" ht="1.2" customHeight="1" x14ac:dyDescent="0.3">
      <c r="A165" s="70"/>
      <c r="B165" s="70"/>
      <c r="C165" s="70"/>
      <c r="D165" s="71"/>
      <c r="E165" s="72"/>
      <c r="F165" s="73"/>
      <c r="G165" s="73"/>
      <c r="H165" s="73"/>
      <c r="I165" s="73"/>
      <c r="J165" s="73"/>
      <c r="K165" s="73"/>
      <c r="L165" s="73"/>
      <c r="M165" s="74"/>
      <c r="N165" s="72"/>
      <c r="O165" s="73"/>
      <c r="P165" s="73"/>
      <c r="Q165" s="73"/>
      <c r="R165" s="73"/>
      <c r="S165" s="73"/>
      <c r="T165" s="73"/>
      <c r="U165" s="11"/>
      <c r="V165" s="74"/>
    </row>
    <row r="166" spans="1:22" x14ac:dyDescent="0.3">
      <c r="A166" s="42" t="s">
        <v>170</v>
      </c>
      <c r="B166" s="42" t="s">
        <v>16</v>
      </c>
      <c r="C166" s="42" t="s">
        <v>17</v>
      </c>
      <c r="D166" s="43" t="s">
        <v>171</v>
      </c>
      <c r="E166" s="44"/>
      <c r="F166" s="45"/>
      <c r="G166" s="45"/>
      <c r="H166" s="45"/>
      <c r="I166" s="45"/>
      <c r="J166" s="45"/>
      <c r="K166" s="46">
        <f>K186</f>
        <v>1</v>
      </c>
      <c r="L166" s="46">
        <f>L186</f>
        <v>10657.48</v>
      </c>
      <c r="M166" s="47">
        <f>M186</f>
        <v>10657.48</v>
      </c>
      <c r="N166" s="44"/>
      <c r="O166" s="45"/>
      <c r="P166" s="45"/>
      <c r="Q166" s="45"/>
      <c r="R166" s="45"/>
      <c r="S166" s="45"/>
      <c r="T166" s="46">
        <f>T186</f>
        <v>1</v>
      </c>
      <c r="U166" s="5">
        <f>U186</f>
        <v>0</v>
      </c>
      <c r="V166" s="47">
        <f>V186</f>
        <v>0</v>
      </c>
    </row>
    <row r="167" spans="1:22" x14ac:dyDescent="0.3">
      <c r="A167" s="48" t="s">
        <v>172</v>
      </c>
      <c r="B167" s="48" t="s">
        <v>16</v>
      </c>
      <c r="C167" s="48" t="s">
        <v>17</v>
      </c>
      <c r="D167" s="49" t="s">
        <v>173</v>
      </c>
      <c r="E167" s="50"/>
      <c r="F167" s="51"/>
      <c r="G167" s="51"/>
      <c r="H167" s="51"/>
      <c r="I167" s="51"/>
      <c r="J167" s="51"/>
      <c r="K167" s="52">
        <f>K176</f>
        <v>1</v>
      </c>
      <c r="L167" s="52">
        <f>L176</f>
        <v>6803.3</v>
      </c>
      <c r="M167" s="53">
        <f>M176</f>
        <v>6803.3</v>
      </c>
      <c r="N167" s="50"/>
      <c r="O167" s="51"/>
      <c r="P167" s="51"/>
      <c r="Q167" s="51"/>
      <c r="R167" s="51"/>
      <c r="S167" s="51"/>
      <c r="T167" s="52">
        <f>T176</f>
        <v>1</v>
      </c>
      <c r="U167" s="6">
        <f>U176</f>
        <v>0</v>
      </c>
      <c r="V167" s="53">
        <f>V176</f>
        <v>0</v>
      </c>
    </row>
    <row r="168" spans="1:22" x14ac:dyDescent="0.3">
      <c r="A168" s="75" t="s">
        <v>174</v>
      </c>
      <c r="B168" s="75" t="s">
        <v>16</v>
      </c>
      <c r="C168" s="75" t="s">
        <v>17</v>
      </c>
      <c r="D168" s="76" t="s">
        <v>175</v>
      </c>
      <c r="E168" s="77"/>
      <c r="F168" s="78"/>
      <c r="G168" s="78"/>
      <c r="H168" s="78"/>
      <c r="I168" s="78"/>
      <c r="J168" s="78"/>
      <c r="K168" s="79">
        <f>K174</f>
        <v>1</v>
      </c>
      <c r="L168" s="79">
        <f>L174</f>
        <v>6803.3</v>
      </c>
      <c r="M168" s="80">
        <f>M174</f>
        <v>6803.3</v>
      </c>
      <c r="N168" s="77"/>
      <c r="O168" s="78"/>
      <c r="P168" s="78"/>
      <c r="Q168" s="78"/>
      <c r="R168" s="78"/>
      <c r="S168" s="78"/>
      <c r="T168" s="79">
        <f>T174</f>
        <v>1</v>
      </c>
      <c r="U168" s="12">
        <f>U174</f>
        <v>0</v>
      </c>
      <c r="V168" s="80">
        <f>V174</f>
        <v>0</v>
      </c>
    </row>
    <row r="169" spans="1:22" x14ac:dyDescent="0.3">
      <c r="A169" s="54" t="s">
        <v>176</v>
      </c>
      <c r="B169" s="55" t="s">
        <v>32</v>
      </c>
      <c r="C169" s="55" t="s">
        <v>67</v>
      </c>
      <c r="D169" s="56" t="s">
        <v>177</v>
      </c>
      <c r="E169" s="57"/>
      <c r="F169" s="58"/>
      <c r="G169" s="58"/>
      <c r="H169" s="58"/>
      <c r="I169" s="58"/>
      <c r="J169" s="58"/>
      <c r="K169" s="59">
        <f>K172</f>
        <v>165.45</v>
      </c>
      <c r="L169" s="59">
        <f>L172</f>
        <v>41.12</v>
      </c>
      <c r="M169" s="60">
        <f>M172</f>
        <v>6803.3</v>
      </c>
      <c r="N169" s="57"/>
      <c r="O169" s="58"/>
      <c r="P169" s="58"/>
      <c r="Q169" s="58"/>
      <c r="R169" s="58"/>
      <c r="S169" s="58"/>
      <c r="T169" s="59">
        <f>T172</f>
        <v>165.45</v>
      </c>
      <c r="U169" s="8">
        <f>U172</f>
        <v>0</v>
      </c>
      <c r="V169" s="60">
        <f>V172</f>
        <v>0</v>
      </c>
    </row>
    <row r="170" spans="1:22" ht="91.8" x14ac:dyDescent="0.3">
      <c r="A170" s="61"/>
      <c r="B170" s="61"/>
      <c r="C170" s="61"/>
      <c r="D170" s="56" t="s">
        <v>178</v>
      </c>
      <c r="E170" s="57"/>
      <c r="F170" s="58"/>
      <c r="G170" s="58"/>
      <c r="H170" s="58"/>
      <c r="I170" s="58"/>
      <c r="J170" s="58"/>
      <c r="K170" s="58"/>
      <c r="L170" s="58"/>
      <c r="M170" s="62"/>
      <c r="N170" s="57"/>
      <c r="O170" s="58"/>
      <c r="P170" s="58"/>
      <c r="Q170" s="58"/>
      <c r="R170" s="58"/>
      <c r="S170" s="58"/>
      <c r="T170" s="58"/>
      <c r="U170" s="7"/>
      <c r="V170" s="62"/>
    </row>
    <row r="171" spans="1:22" x14ac:dyDescent="0.3">
      <c r="A171" s="61"/>
      <c r="B171" s="61"/>
      <c r="C171" s="61"/>
      <c r="D171" s="63"/>
      <c r="E171" s="64" t="s">
        <v>17</v>
      </c>
      <c r="F171" s="65">
        <v>0</v>
      </c>
      <c r="G171" s="66">
        <v>165.45</v>
      </c>
      <c r="H171" s="66">
        <v>0</v>
      </c>
      <c r="I171" s="66">
        <v>0</v>
      </c>
      <c r="J171" s="59">
        <f>OR(F171&lt;&gt;0,G171&lt;&gt;0,H171&lt;&gt;0,I171&lt;&gt;0)*(F171 + (F171 = 0))*(G171 + (G171 = 0))*(H171 + (H171 = 0))*(I171 + (I171 = 0))</f>
        <v>165.45</v>
      </c>
      <c r="K171" s="58"/>
      <c r="L171" s="58"/>
      <c r="M171" s="62"/>
      <c r="N171" s="64" t="s">
        <v>17</v>
      </c>
      <c r="O171" s="65">
        <v>0</v>
      </c>
      <c r="P171" s="66">
        <v>165.45</v>
      </c>
      <c r="Q171" s="66">
        <v>0</v>
      </c>
      <c r="R171" s="66">
        <v>0</v>
      </c>
      <c r="S171" s="59">
        <f>OR(O171&lt;&gt;0,P171&lt;&gt;0,Q171&lt;&gt;0,R171&lt;&gt;0)*(O171 + (O171 = 0))*(P171 + (P171 = 0))*(Q171 + (Q171 = 0))*(R171 + (R171 = 0))</f>
        <v>165.45</v>
      </c>
      <c r="T171" s="58"/>
      <c r="U171" s="7"/>
      <c r="V171" s="62"/>
    </row>
    <row r="172" spans="1:22" x14ac:dyDescent="0.3">
      <c r="A172" s="61"/>
      <c r="B172" s="61"/>
      <c r="C172" s="61"/>
      <c r="D172" s="63"/>
      <c r="E172" s="57"/>
      <c r="F172" s="58"/>
      <c r="G172" s="58"/>
      <c r="H172" s="58"/>
      <c r="I172" s="58"/>
      <c r="J172" s="67" t="s">
        <v>179</v>
      </c>
      <c r="K172" s="68">
        <f>J171*1</f>
        <v>165.45</v>
      </c>
      <c r="L172" s="66">
        <f>38.79*1.06</f>
        <v>41.12</v>
      </c>
      <c r="M172" s="69">
        <f>ROUND(K172*L172,2)</f>
        <v>6803.3</v>
      </c>
      <c r="N172" s="57"/>
      <c r="O172" s="58"/>
      <c r="P172" s="58"/>
      <c r="Q172" s="58"/>
      <c r="R172" s="58"/>
      <c r="S172" s="67" t="s">
        <v>179</v>
      </c>
      <c r="T172" s="68">
        <f>S171*1</f>
        <v>165.45</v>
      </c>
      <c r="U172" s="9">
        <v>0</v>
      </c>
      <c r="V172" s="69">
        <f>ROUND(T172*U172,2)</f>
        <v>0</v>
      </c>
    </row>
    <row r="173" spans="1:22" ht="1.2" customHeight="1" x14ac:dyDescent="0.3">
      <c r="A173" s="70"/>
      <c r="B173" s="70"/>
      <c r="C173" s="70"/>
      <c r="D173" s="71"/>
      <c r="E173" s="72"/>
      <c r="F173" s="73"/>
      <c r="G173" s="73"/>
      <c r="H173" s="73"/>
      <c r="I173" s="73"/>
      <c r="J173" s="73"/>
      <c r="K173" s="73"/>
      <c r="L173" s="73"/>
      <c r="M173" s="74"/>
      <c r="N173" s="72"/>
      <c r="O173" s="73"/>
      <c r="P173" s="73"/>
      <c r="Q173" s="73"/>
      <c r="R173" s="73"/>
      <c r="S173" s="73"/>
      <c r="T173" s="73"/>
      <c r="U173" s="11"/>
      <c r="V173" s="74"/>
    </row>
    <row r="174" spans="1:22" x14ac:dyDescent="0.3">
      <c r="A174" s="61"/>
      <c r="B174" s="61"/>
      <c r="C174" s="61"/>
      <c r="D174" s="63"/>
      <c r="E174" s="57"/>
      <c r="F174" s="58"/>
      <c r="G174" s="58"/>
      <c r="H174" s="58"/>
      <c r="I174" s="58"/>
      <c r="J174" s="67" t="s">
        <v>180</v>
      </c>
      <c r="K174" s="66">
        <v>1</v>
      </c>
      <c r="L174" s="68">
        <f>M169</f>
        <v>6803.3</v>
      </c>
      <c r="M174" s="69">
        <f>ROUND(K174*L174,2)</f>
        <v>6803.3</v>
      </c>
      <c r="N174" s="57"/>
      <c r="O174" s="58"/>
      <c r="P174" s="58"/>
      <c r="Q174" s="58"/>
      <c r="R174" s="58"/>
      <c r="S174" s="67" t="s">
        <v>180</v>
      </c>
      <c r="T174" s="66">
        <v>1</v>
      </c>
      <c r="U174" s="10">
        <f>V169</f>
        <v>0</v>
      </c>
      <c r="V174" s="69">
        <f>ROUND(T174*U174,2)</f>
        <v>0</v>
      </c>
    </row>
    <row r="175" spans="1:22" ht="1.2" customHeight="1" x14ac:dyDescent="0.3">
      <c r="A175" s="70"/>
      <c r="B175" s="70"/>
      <c r="C175" s="70"/>
      <c r="D175" s="71"/>
      <c r="E175" s="72"/>
      <c r="F175" s="73"/>
      <c r="G175" s="73"/>
      <c r="H175" s="73"/>
      <c r="I175" s="73"/>
      <c r="J175" s="73"/>
      <c r="K175" s="73"/>
      <c r="L175" s="73"/>
      <c r="M175" s="74"/>
      <c r="N175" s="72"/>
      <c r="O175" s="73"/>
      <c r="P175" s="73"/>
      <c r="Q175" s="73"/>
      <c r="R175" s="73"/>
      <c r="S175" s="73"/>
      <c r="T175" s="73"/>
      <c r="U175" s="11"/>
      <c r="V175" s="74"/>
    </row>
    <row r="176" spans="1:22" x14ac:dyDescent="0.3">
      <c r="A176" s="61"/>
      <c r="B176" s="61"/>
      <c r="C176" s="61"/>
      <c r="D176" s="63"/>
      <c r="E176" s="57"/>
      <c r="F176" s="58"/>
      <c r="G176" s="58"/>
      <c r="H176" s="58"/>
      <c r="I176" s="58"/>
      <c r="J176" s="67" t="s">
        <v>181</v>
      </c>
      <c r="K176" s="66">
        <v>1</v>
      </c>
      <c r="L176" s="68">
        <f>M168</f>
        <v>6803.3</v>
      </c>
      <c r="M176" s="69">
        <f>ROUND(K176*L176,2)</f>
        <v>6803.3</v>
      </c>
      <c r="N176" s="57"/>
      <c r="O176" s="58"/>
      <c r="P176" s="58"/>
      <c r="Q176" s="58"/>
      <c r="R176" s="58"/>
      <c r="S176" s="67" t="s">
        <v>181</v>
      </c>
      <c r="T176" s="66">
        <v>1</v>
      </c>
      <c r="U176" s="10">
        <f>V168</f>
        <v>0</v>
      </c>
      <c r="V176" s="69">
        <f>ROUND(T176*U176,2)</f>
        <v>0</v>
      </c>
    </row>
    <row r="177" spans="1:22" ht="1.2" customHeight="1" x14ac:dyDescent="0.3">
      <c r="A177" s="70"/>
      <c r="B177" s="70"/>
      <c r="C177" s="70"/>
      <c r="D177" s="71"/>
      <c r="E177" s="72"/>
      <c r="F177" s="73"/>
      <c r="G177" s="73"/>
      <c r="H177" s="73"/>
      <c r="I177" s="73"/>
      <c r="J177" s="73"/>
      <c r="K177" s="73"/>
      <c r="L177" s="73"/>
      <c r="M177" s="74"/>
      <c r="N177" s="72"/>
      <c r="O177" s="73"/>
      <c r="P177" s="73"/>
      <c r="Q177" s="73"/>
      <c r="R177" s="73"/>
      <c r="S177" s="73"/>
      <c r="T177" s="73"/>
      <c r="U177" s="11"/>
      <c r="V177" s="74"/>
    </row>
    <row r="178" spans="1:22" x14ac:dyDescent="0.3">
      <c r="A178" s="48" t="s">
        <v>182</v>
      </c>
      <c r="B178" s="48" t="s">
        <v>16</v>
      </c>
      <c r="C178" s="48" t="s">
        <v>17</v>
      </c>
      <c r="D178" s="49" t="s">
        <v>183</v>
      </c>
      <c r="E178" s="50"/>
      <c r="F178" s="51"/>
      <c r="G178" s="51"/>
      <c r="H178" s="51"/>
      <c r="I178" s="51"/>
      <c r="J178" s="51"/>
      <c r="K178" s="52">
        <f>K184</f>
        <v>1</v>
      </c>
      <c r="L178" s="52">
        <f>L184</f>
        <v>3854.18</v>
      </c>
      <c r="M178" s="53">
        <f>M184</f>
        <v>3854.18</v>
      </c>
      <c r="N178" s="50"/>
      <c r="O178" s="51"/>
      <c r="P178" s="51"/>
      <c r="Q178" s="51"/>
      <c r="R178" s="51"/>
      <c r="S178" s="51"/>
      <c r="T178" s="52">
        <f>T184</f>
        <v>1</v>
      </c>
      <c r="U178" s="6">
        <f>U184</f>
        <v>0</v>
      </c>
      <c r="V178" s="53">
        <f>V184</f>
        <v>0</v>
      </c>
    </row>
    <row r="179" spans="1:22" x14ac:dyDescent="0.3">
      <c r="A179" s="54" t="s">
        <v>184</v>
      </c>
      <c r="B179" s="55" t="s">
        <v>32</v>
      </c>
      <c r="C179" s="55" t="s">
        <v>185</v>
      </c>
      <c r="D179" s="56" t="s">
        <v>186</v>
      </c>
      <c r="E179" s="57"/>
      <c r="F179" s="58"/>
      <c r="G179" s="58"/>
      <c r="H179" s="58"/>
      <c r="I179" s="58"/>
      <c r="J179" s="58"/>
      <c r="K179" s="59">
        <f>K182</f>
        <v>11</v>
      </c>
      <c r="L179" s="59">
        <f>L182</f>
        <v>350.38</v>
      </c>
      <c r="M179" s="60">
        <f>M182</f>
        <v>3854.18</v>
      </c>
      <c r="N179" s="57"/>
      <c r="O179" s="58"/>
      <c r="P179" s="58"/>
      <c r="Q179" s="58"/>
      <c r="R179" s="58"/>
      <c r="S179" s="58"/>
      <c r="T179" s="59">
        <f>T182</f>
        <v>11</v>
      </c>
      <c r="U179" s="8">
        <f>U182</f>
        <v>0</v>
      </c>
      <c r="V179" s="60">
        <f>V182</f>
        <v>0</v>
      </c>
    </row>
    <row r="180" spans="1:22" ht="40.799999999999997" x14ac:dyDescent="0.3">
      <c r="A180" s="61"/>
      <c r="B180" s="61"/>
      <c r="C180" s="61"/>
      <c r="D180" s="56" t="s">
        <v>187</v>
      </c>
      <c r="E180" s="57"/>
      <c r="F180" s="58"/>
      <c r="G180" s="58"/>
      <c r="H180" s="58"/>
      <c r="I180" s="58"/>
      <c r="J180" s="58"/>
      <c r="K180" s="58"/>
      <c r="L180" s="58"/>
      <c r="M180" s="62"/>
      <c r="N180" s="57"/>
      <c r="O180" s="58"/>
      <c r="P180" s="58"/>
      <c r="Q180" s="58"/>
      <c r="R180" s="58"/>
      <c r="S180" s="58"/>
      <c r="T180" s="58"/>
      <c r="U180" s="7"/>
      <c r="V180" s="62"/>
    </row>
    <row r="181" spans="1:22" x14ac:dyDescent="0.3">
      <c r="A181" s="61"/>
      <c r="B181" s="61"/>
      <c r="C181" s="61"/>
      <c r="D181" s="63"/>
      <c r="E181" s="64" t="s">
        <v>17</v>
      </c>
      <c r="F181" s="65">
        <v>11</v>
      </c>
      <c r="G181" s="66">
        <v>0</v>
      </c>
      <c r="H181" s="66">
        <v>0</v>
      </c>
      <c r="I181" s="66">
        <v>0</v>
      </c>
      <c r="J181" s="59">
        <f>OR(F181&lt;&gt;0,G181&lt;&gt;0,H181&lt;&gt;0,I181&lt;&gt;0)*(F181 + (F181 = 0))*(G181 + (G181 = 0))*(H181 + (H181 = 0))*(I181 + (I181 = 0))</f>
        <v>11</v>
      </c>
      <c r="K181" s="58"/>
      <c r="L181" s="58"/>
      <c r="M181" s="62"/>
      <c r="N181" s="64" t="s">
        <v>17</v>
      </c>
      <c r="O181" s="65">
        <v>11</v>
      </c>
      <c r="P181" s="66">
        <v>0</v>
      </c>
      <c r="Q181" s="66">
        <v>0</v>
      </c>
      <c r="R181" s="66">
        <v>0</v>
      </c>
      <c r="S181" s="59">
        <f>OR(O181&lt;&gt;0,P181&lt;&gt;0,Q181&lt;&gt;0,R181&lt;&gt;0)*(O181 + (O181 = 0))*(P181 + (P181 = 0))*(Q181 + (Q181 = 0))*(R181 + (R181 = 0))</f>
        <v>11</v>
      </c>
      <c r="T181" s="58"/>
      <c r="U181" s="7"/>
      <c r="V181" s="62"/>
    </row>
    <row r="182" spans="1:22" x14ac:dyDescent="0.3">
      <c r="A182" s="61"/>
      <c r="B182" s="61"/>
      <c r="C182" s="61"/>
      <c r="D182" s="63"/>
      <c r="E182" s="57"/>
      <c r="F182" s="58"/>
      <c r="G182" s="58"/>
      <c r="H182" s="58"/>
      <c r="I182" s="58"/>
      <c r="J182" s="67" t="s">
        <v>188</v>
      </c>
      <c r="K182" s="68">
        <f>J181*1</f>
        <v>11</v>
      </c>
      <c r="L182" s="66">
        <f>330.55*1.06</f>
        <v>350.38</v>
      </c>
      <c r="M182" s="69">
        <f>ROUND(K182*L182,2)</f>
        <v>3854.18</v>
      </c>
      <c r="N182" s="57"/>
      <c r="O182" s="58"/>
      <c r="P182" s="58"/>
      <c r="Q182" s="58"/>
      <c r="R182" s="58"/>
      <c r="S182" s="67" t="s">
        <v>188</v>
      </c>
      <c r="T182" s="68">
        <f>S181*1</f>
        <v>11</v>
      </c>
      <c r="U182" s="9">
        <v>0</v>
      </c>
      <c r="V182" s="69">
        <f>ROUND(T182*U182,2)</f>
        <v>0</v>
      </c>
    </row>
    <row r="183" spans="1:22" ht="1.2" customHeight="1" x14ac:dyDescent="0.3">
      <c r="A183" s="70"/>
      <c r="B183" s="70"/>
      <c r="C183" s="70"/>
      <c r="D183" s="71"/>
      <c r="E183" s="72"/>
      <c r="F183" s="73"/>
      <c r="G183" s="73"/>
      <c r="H183" s="73"/>
      <c r="I183" s="73"/>
      <c r="J183" s="73"/>
      <c r="K183" s="73"/>
      <c r="L183" s="73"/>
      <c r="M183" s="74"/>
      <c r="N183" s="72"/>
      <c r="O183" s="73"/>
      <c r="P183" s="73"/>
      <c r="Q183" s="73"/>
      <c r="R183" s="73"/>
      <c r="S183" s="73"/>
      <c r="T183" s="73"/>
      <c r="U183" s="11"/>
      <c r="V183" s="74"/>
    </row>
    <row r="184" spans="1:22" x14ac:dyDescent="0.3">
      <c r="A184" s="61"/>
      <c r="B184" s="61"/>
      <c r="C184" s="61"/>
      <c r="D184" s="63"/>
      <c r="E184" s="57"/>
      <c r="F184" s="58"/>
      <c r="G184" s="58"/>
      <c r="H184" s="58"/>
      <c r="I184" s="58"/>
      <c r="J184" s="67" t="s">
        <v>189</v>
      </c>
      <c r="K184" s="66">
        <v>1</v>
      </c>
      <c r="L184" s="68">
        <f>M179</f>
        <v>3854.18</v>
      </c>
      <c r="M184" s="69">
        <f>ROUND(K184*L184,2)</f>
        <v>3854.18</v>
      </c>
      <c r="N184" s="57"/>
      <c r="O184" s="58"/>
      <c r="P184" s="58"/>
      <c r="Q184" s="58"/>
      <c r="R184" s="58"/>
      <c r="S184" s="67" t="s">
        <v>189</v>
      </c>
      <c r="T184" s="66">
        <v>1</v>
      </c>
      <c r="U184" s="10">
        <f>V179</f>
        <v>0</v>
      </c>
      <c r="V184" s="69">
        <f>ROUND(T184*U184,2)</f>
        <v>0</v>
      </c>
    </row>
    <row r="185" spans="1:22" ht="1.2" customHeight="1" x14ac:dyDescent="0.3">
      <c r="A185" s="70"/>
      <c r="B185" s="70"/>
      <c r="C185" s="70"/>
      <c r="D185" s="71"/>
      <c r="E185" s="72"/>
      <c r="F185" s="73"/>
      <c r="G185" s="73"/>
      <c r="H185" s="73"/>
      <c r="I185" s="73"/>
      <c r="J185" s="73"/>
      <c r="K185" s="73"/>
      <c r="L185" s="73"/>
      <c r="M185" s="74"/>
      <c r="N185" s="72"/>
      <c r="O185" s="73"/>
      <c r="P185" s="73"/>
      <c r="Q185" s="73"/>
      <c r="R185" s="73"/>
      <c r="S185" s="73"/>
      <c r="T185" s="73"/>
      <c r="U185" s="11"/>
      <c r="V185" s="74"/>
    </row>
    <row r="186" spans="1:22" x14ac:dyDescent="0.3">
      <c r="A186" s="61"/>
      <c r="B186" s="61"/>
      <c r="C186" s="61"/>
      <c r="D186" s="63"/>
      <c r="E186" s="57"/>
      <c r="F186" s="58"/>
      <c r="G186" s="58"/>
      <c r="H186" s="58"/>
      <c r="I186" s="58"/>
      <c r="J186" s="67" t="s">
        <v>190</v>
      </c>
      <c r="K186" s="66">
        <v>1</v>
      </c>
      <c r="L186" s="68">
        <f>M167+M178</f>
        <v>10657.48</v>
      </c>
      <c r="M186" s="69">
        <f>ROUND(K186*L186,2)</f>
        <v>10657.48</v>
      </c>
      <c r="N186" s="57"/>
      <c r="O186" s="58"/>
      <c r="P186" s="58"/>
      <c r="Q186" s="58"/>
      <c r="R186" s="58"/>
      <c r="S186" s="67" t="s">
        <v>190</v>
      </c>
      <c r="T186" s="66">
        <v>1</v>
      </c>
      <c r="U186" s="10">
        <f>V167+V178</f>
        <v>0</v>
      </c>
      <c r="V186" s="69">
        <f>ROUND(T186*U186,2)</f>
        <v>0</v>
      </c>
    </row>
    <row r="187" spans="1:22" ht="1.2" customHeight="1" x14ac:dyDescent="0.3">
      <c r="A187" s="70"/>
      <c r="B187" s="70"/>
      <c r="C187" s="70"/>
      <c r="D187" s="71"/>
      <c r="E187" s="72"/>
      <c r="F187" s="73"/>
      <c r="G187" s="73"/>
      <c r="H187" s="73"/>
      <c r="I187" s="73"/>
      <c r="J187" s="73"/>
      <c r="K187" s="73"/>
      <c r="L187" s="73"/>
      <c r="M187" s="74"/>
      <c r="N187" s="72"/>
      <c r="O187" s="73"/>
      <c r="P187" s="73"/>
      <c r="Q187" s="73"/>
      <c r="R187" s="73"/>
      <c r="S187" s="73"/>
      <c r="T187" s="73"/>
      <c r="U187" s="11"/>
      <c r="V187" s="74"/>
    </row>
    <row r="188" spans="1:22" ht="20.399999999999999" x14ac:dyDescent="0.3">
      <c r="A188" s="54" t="s">
        <v>191</v>
      </c>
      <c r="B188" s="55" t="s">
        <v>32</v>
      </c>
      <c r="C188" s="55" t="s">
        <v>192</v>
      </c>
      <c r="D188" s="56" t="s">
        <v>193</v>
      </c>
      <c r="E188" s="57"/>
      <c r="F188" s="58"/>
      <c r="G188" s="58"/>
      <c r="H188" s="58"/>
      <c r="I188" s="58"/>
      <c r="J188" s="58"/>
      <c r="K188" s="59">
        <f>K191</f>
        <v>1</v>
      </c>
      <c r="L188" s="59">
        <f>L191</f>
        <v>10600</v>
      </c>
      <c r="M188" s="60">
        <f>M191</f>
        <v>10600</v>
      </c>
      <c r="N188" s="57"/>
      <c r="O188" s="58"/>
      <c r="P188" s="58"/>
      <c r="Q188" s="58"/>
      <c r="R188" s="58"/>
      <c r="S188" s="58"/>
      <c r="T188" s="59">
        <f>T191</f>
        <v>1</v>
      </c>
      <c r="U188" s="8">
        <f>U191</f>
        <v>0</v>
      </c>
      <c r="V188" s="60">
        <f>V191</f>
        <v>0</v>
      </c>
    </row>
    <row r="189" spans="1:22" ht="51" x14ac:dyDescent="0.3">
      <c r="A189" s="61"/>
      <c r="B189" s="61"/>
      <c r="C189" s="61"/>
      <c r="D189" s="56" t="s">
        <v>194</v>
      </c>
      <c r="E189" s="57"/>
      <c r="F189" s="58"/>
      <c r="G189" s="58"/>
      <c r="H189" s="58"/>
      <c r="I189" s="58"/>
      <c r="J189" s="58"/>
      <c r="K189" s="58"/>
      <c r="L189" s="58"/>
      <c r="M189" s="62"/>
      <c r="N189" s="57"/>
      <c r="O189" s="58"/>
      <c r="P189" s="58"/>
      <c r="Q189" s="58"/>
      <c r="R189" s="58"/>
      <c r="S189" s="58"/>
      <c r="T189" s="58"/>
      <c r="U189" s="7"/>
      <c r="V189" s="62"/>
    </row>
    <row r="190" spans="1:22" x14ac:dyDescent="0.3">
      <c r="A190" s="61"/>
      <c r="B190" s="61"/>
      <c r="C190" s="61"/>
      <c r="D190" s="63"/>
      <c r="E190" s="64" t="s">
        <v>17</v>
      </c>
      <c r="F190" s="65">
        <v>1</v>
      </c>
      <c r="G190" s="66">
        <v>0</v>
      </c>
      <c r="H190" s="66">
        <v>0</v>
      </c>
      <c r="I190" s="66">
        <v>0</v>
      </c>
      <c r="J190" s="59">
        <f>OR(F190&lt;&gt;0,G190&lt;&gt;0,H190&lt;&gt;0,I190&lt;&gt;0)*(F190 + (F190 = 0))*(G190 + (G190 = 0))*(H190 + (H190 = 0))*(I190 + (I190 = 0))</f>
        <v>1</v>
      </c>
      <c r="K190" s="58"/>
      <c r="L190" s="58"/>
      <c r="M190" s="62"/>
      <c r="N190" s="64" t="s">
        <v>17</v>
      </c>
      <c r="O190" s="65">
        <v>1</v>
      </c>
      <c r="P190" s="66">
        <v>0</v>
      </c>
      <c r="Q190" s="66">
        <v>0</v>
      </c>
      <c r="R190" s="66">
        <v>0</v>
      </c>
      <c r="S190" s="59">
        <f>OR(O190&lt;&gt;0,P190&lt;&gt;0,Q190&lt;&gt;0,R190&lt;&gt;0)*(O190 + (O190 = 0))*(P190 + (P190 = 0))*(Q190 + (Q190 = 0))*(R190 + (R190 = 0))</f>
        <v>1</v>
      </c>
      <c r="T190" s="58"/>
      <c r="U190" s="7"/>
      <c r="V190" s="62"/>
    </row>
    <row r="191" spans="1:22" x14ac:dyDescent="0.3">
      <c r="A191" s="61"/>
      <c r="B191" s="61"/>
      <c r="C191" s="61"/>
      <c r="D191" s="63"/>
      <c r="E191" s="57"/>
      <c r="F191" s="58"/>
      <c r="G191" s="58"/>
      <c r="H191" s="58"/>
      <c r="I191" s="58"/>
      <c r="J191" s="67" t="s">
        <v>195</v>
      </c>
      <c r="K191" s="68">
        <f>J190</f>
        <v>1</v>
      </c>
      <c r="L191" s="66">
        <f>10000*1.06</f>
        <v>10600</v>
      </c>
      <c r="M191" s="69">
        <f>ROUND(K191*L191,2)</f>
        <v>10600</v>
      </c>
      <c r="N191" s="57"/>
      <c r="O191" s="58"/>
      <c r="P191" s="58"/>
      <c r="Q191" s="58"/>
      <c r="R191" s="58"/>
      <c r="S191" s="67" t="s">
        <v>195</v>
      </c>
      <c r="T191" s="68">
        <f>S190</f>
        <v>1</v>
      </c>
      <c r="U191" s="9">
        <v>0</v>
      </c>
      <c r="V191" s="69">
        <f>ROUND(T191*U191,2)</f>
        <v>0</v>
      </c>
    </row>
    <row r="192" spans="1:22" ht="1.2" customHeight="1" x14ac:dyDescent="0.3">
      <c r="A192" s="70"/>
      <c r="B192" s="70"/>
      <c r="C192" s="70"/>
      <c r="D192" s="71"/>
      <c r="E192" s="72"/>
      <c r="F192" s="73"/>
      <c r="G192" s="73"/>
      <c r="H192" s="73"/>
      <c r="I192" s="73"/>
      <c r="J192" s="73"/>
      <c r="K192" s="73"/>
      <c r="L192" s="73"/>
      <c r="M192" s="74"/>
      <c r="N192" s="72"/>
      <c r="O192" s="73"/>
      <c r="P192" s="73"/>
      <c r="Q192" s="73"/>
      <c r="R192" s="73"/>
      <c r="S192" s="73"/>
      <c r="T192" s="73"/>
      <c r="U192" s="11"/>
      <c r="V192" s="74"/>
    </row>
    <row r="193" spans="1:22" ht="20.399999999999999" x14ac:dyDescent="0.3">
      <c r="A193" s="54" t="s">
        <v>196</v>
      </c>
      <c r="B193" s="55" t="s">
        <v>32</v>
      </c>
      <c r="C193" s="55" t="s">
        <v>192</v>
      </c>
      <c r="D193" s="56" t="s">
        <v>197</v>
      </c>
      <c r="E193" s="57"/>
      <c r="F193" s="58"/>
      <c r="G193" s="58"/>
      <c r="H193" s="58"/>
      <c r="I193" s="58"/>
      <c r="J193" s="58"/>
      <c r="K193" s="59">
        <f>K196</f>
        <v>1</v>
      </c>
      <c r="L193" s="59">
        <f>L196</f>
        <v>15900</v>
      </c>
      <c r="M193" s="60">
        <f>M196</f>
        <v>15900</v>
      </c>
      <c r="N193" s="57"/>
      <c r="O193" s="58"/>
      <c r="P193" s="58"/>
      <c r="Q193" s="58"/>
      <c r="R193" s="58"/>
      <c r="S193" s="58"/>
      <c r="T193" s="59">
        <f>T196</f>
        <v>1</v>
      </c>
      <c r="U193" s="8">
        <f>U196</f>
        <v>0</v>
      </c>
      <c r="V193" s="60">
        <f>V196</f>
        <v>0</v>
      </c>
    </row>
    <row r="194" spans="1:22" ht="40.799999999999997" x14ac:dyDescent="0.3">
      <c r="A194" s="61"/>
      <c r="B194" s="61"/>
      <c r="C194" s="61"/>
      <c r="D194" s="56" t="s">
        <v>198</v>
      </c>
      <c r="E194" s="57"/>
      <c r="F194" s="58"/>
      <c r="G194" s="58"/>
      <c r="H194" s="58"/>
      <c r="I194" s="58"/>
      <c r="J194" s="58"/>
      <c r="K194" s="58"/>
      <c r="L194" s="58"/>
      <c r="M194" s="62"/>
      <c r="N194" s="57"/>
      <c r="O194" s="58"/>
      <c r="P194" s="58"/>
      <c r="Q194" s="58"/>
      <c r="R194" s="58"/>
      <c r="S194" s="58"/>
      <c r="T194" s="58"/>
      <c r="U194" s="7"/>
      <c r="V194" s="62"/>
    </row>
    <row r="195" spans="1:22" x14ac:dyDescent="0.3">
      <c r="A195" s="61"/>
      <c r="B195" s="61"/>
      <c r="C195" s="61"/>
      <c r="D195" s="63"/>
      <c r="E195" s="64" t="s">
        <v>17</v>
      </c>
      <c r="F195" s="65">
        <v>1</v>
      </c>
      <c r="G195" s="66">
        <v>0</v>
      </c>
      <c r="H195" s="66">
        <v>0</v>
      </c>
      <c r="I195" s="66">
        <v>0</v>
      </c>
      <c r="J195" s="59">
        <f>OR(F195&lt;&gt;0,G195&lt;&gt;0,H195&lt;&gt;0,I195&lt;&gt;0)*(F195 + (F195 = 0))*(G195 + (G195 = 0))*(H195 + (H195 = 0))*(I195 + (I195 = 0))</f>
        <v>1</v>
      </c>
      <c r="K195" s="58"/>
      <c r="L195" s="58"/>
      <c r="M195" s="62"/>
      <c r="N195" s="64" t="s">
        <v>17</v>
      </c>
      <c r="O195" s="65">
        <v>1</v>
      </c>
      <c r="P195" s="66">
        <v>0</v>
      </c>
      <c r="Q195" s="66">
        <v>0</v>
      </c>
      <c r="R195" s="66">
        <v>0</v>
      </c>
      <c r="S195" s="59">
        <f>OR(O195&lt;&gt;0,P195&lt;&gt;0,Q195&lt;&gt;0,R195&lt;&gt;0)*(O195 + (O195 = 0))*(P195 + (P195 = 0))*(Q195 + (Q195 = 0))*(R195 + (R195 = 0))</f>
        <v>1</v>
      </c>
      <c r="T195" s="58"/>
      <c r="U195" s="7"/>
      <c r="V195" s="62"/>
    </row>
    <row r="196" spans="1:22" x14ac:dyDescent="0.3">
      <c r="A196" s="61"/>
      <c r="B196" s="61"/>
      <c r="C196" s="61"/>
      <c r="D196" s="63"/>
      <c r="E196" s="57"/>
      <c r="F196" s="58"/>
      <c r="G196" s="58"/>
      <c r="H196" s="58"/>
      <c r="I196" s="58"/>
      <c r="J196" s="67" t="s">
        <v>199</v>
      </c>
      <c r="K196" s="68">
        <f>J195</f>
        <v>1</v>
      </c>
      <c r="L196" s="66">
        <f>15000*1.06</f>
        <v>15900</v>
      </c>
      <c r="M196" s="69">
        <f>ROUND(K196*L196,2)</f>
        <v>15900</v>
      </c>
      <c r="N196" s="57"/>
      <c r="O196" s="58"/>
      <c r="P196" s="58"/>
      <c r="Q196" s="58"/>
      <c r="R196" s="58"/>
      <c r="S196" s="67" t="s">
        <v>199</v>
      </c>
      <c r="T196" s="68">
        <f>S195</f>
        <v>1</v>
      </c>
      <c r="U196" s="9">
        <v>0</v>
      </c>
      <c r="V196" s="69">
        <f>ROUND(T196*U196,2)</f>
        <v>0</v>
      </c>
    </row>
    <row r="197" spans="1:22" ht="1.2" customHeight="1" x14ac:dyDescent="0.3">
      <c r="A197" s="70"/>
      <c r="B197" s="70"/>
      <c r="C197" s="70"/>
      <c r="D197" s="71"/>
      <c r="E197" s="72"/>
      <c r="F197" s="73"/>
      <c r="G197" s="73"/>
      <c r="H197" s="73"/>
      <c r="I197" s="73"/>
      <c r="J197" s="73"/>
      <c r="K197" s="73"/>
      <c r="L197" s="73"/>
      <c r="M197" s="74"/>
      <c r="N197" s="72"/>
      <c r="O197" s="73"/>
      <c r="P197" s="73"/>
      <c r="Q197" s="73"/>
      <c r="R197" s="73"/>
      <c r="S197" s="73"/>
      <c r="T197" s="73"/>
      <c r="U197" s="11"/>
      <c r="V197" s="74"/>
    </row>
    <row r="198" spans="1:22" x14ac:dyDescent="0.3">
      <c r="A198" s="61"/>
      <c r="B198" s="61"/>
      <c r="C198" s="61"/>
      <c r="D198" s="63"/>
      <c r="E198" s="57"/>
      <c r="F198" s="58"/>
      <c r="G198" s="58"/>
      <c r="H198" s="58"/>
      <c r="I198" s="58"/>
      <c r="J198" s="67" t="s">
        <v>200</v>
      </c>
      <c r="K198" s="66">
        <v>1</v>
      </c>
      <c r="L198" s="68">
        <f>M9+M20+M42+M55+M158+M166+M188+M193</f>
        <v>159552.5</v>
      </c>
      <c r="M198" s="69">
        <f>ROUND(K198*L198,2)</f>
        <v>159552.5</v>
      </c>
      <c r="N198" s="57"/>
      <c r="O198" s="58"/>
      <c r="P198" s="58"/>
      <c r="Q198" s="58"/>
      <c r="R198" s="58"/>
      <c r="S198" s="67" t="s">
        <v>200</v>
      </c>
      <c r="T198" s="66">
        <v>1</v>
      </c>
      <c r="U198" s="10">
        <f>V9+V20+V42+V55+V158+V166+V188+V193</f>
        <v>0</v>
      </c>
      <c r="V198" s="69">
        <f>ROUND(T198*U198,2)</f>
        <v>0</v>
      </c>
    </row>
    <row r="199" spans="1:22" ht="1.2" customHeight="1" x14ac:dyDescent="0.3">
      <c r="A199" s="70"/>
      <c r="B199" s="70"/>
      <c r="C199" s="70"/>
      <c r="D199" s="71"/>
      <c r="E199" s="72"/>
      <c r="F199" s="73"/>
      <c r="G199" s="73"/>
      <c r="H199" s="73"/>
      <c r="I199" s="73"/>
      <c r="J199" s="73"/>
      <c r="K199" s="73"/>
      <c r="L199" s="73"/>
      <c r="M199" s="74"/>
      <c r="N199" s="72"/>
      <c r="O199" s="73"/>
      <c r="P199" s="73"/>
      <c r="Q199" s="73"/>
      <c r="R199" s="73"/>
      <c r="S199" s="73"/>
      <c r="T199" s="73"/>
      <c r="U199" s="11"/>
      <c r="V199" s="74"/>
    </row>
    <row r="200" spans="1:22" x14ac:dyDescent="0.3">
      <c r="A200" s="61"/>
      <c r="B200" s="61"/>
      <c r="C200" s="61"/>
      <c r="D200" s="63"/>
      <c r="E200" s="57"/>
      <c r="F200" s="58"/>
      <c r="G200" s="58"/>
      <c r="H200" s="58"/>
      <c r="I200" s="58"/>
      <c r="J200" s="67" t="s">
        <v>201</v>
      </c>
      <c r="K200" s="66">
        <v>1</v>
      </c>
      <c r="L200" s="68">
        <f>SUM(M6:M8)</f>
        <v>164022.66</v>
      </c>
      <c r="M200" s="69">
        <f>ROUND(K200*L200,2)</f>
        <v>164022.66</v>
      </c>
      <c r="N200" s="57"/>
      <c r="O200" s="58"/>
      <c r="P200" s="58"/>
      <c r="Q200" s="58"/>
      <c r="R200" s="58"/>
      <c r="S200" s="67" t="s">
        <v>201</v>
      </c>
      <c r="T200" s="66">
        <v>1</v>
      </c>
      <c r="U200" s="10">
        <f>SUM(V6:V8)</f>
        <v>0</v>
      </c>
      <c r="V200" s="69">
        <f>ROUND(T200*U200,2)</f>
        <v>0</v>
      </c>
    </row>
    <row r="201" spans="1:22" ht="1.2" customHeight="1" x14ac:dyDescent="0.3">
      <c r="A201" s="70"/>
      <c r="B201" s="70"/>
      <c r="C201" s="70"/>
      <c r="D201" s="71"/>
      <c r="E201" s="72"/>
      <c r="F201" s="73"/>
      <c r="G201" s="73"/>
      <c r="H201" s="73"/>
      <c r="I201" s="73"/>
      <c r="J201" s="73"/>
      <c r="K201" s="73"/>
      <c r="L201" s="73"/>
      <c r="M201" s="74"/>
      <c r="N201" s="72"/>
      <c r="O201" s="73"/>
      <c r="P201" s="73"/>
      <c r="Q201" s="73"/>
      <c r="R201" s="73"/>
      <c r="S201" s="73"/>
      <c r="T201" s="73"/>
      <c r="U201" s="11"/>
      <c r="V201" s="74"/>
    </row>
    <row r="202" spans="1:22" x14ac:dyDescent="0.3">
      <c r="A202" s="61"/>
      <c r="B202" s="61"/>
      <c r="C202" s="61"/>
      <c r="D202" s="63"/>
      <c r="E202" s="57"/>
      <c r="F202" s="58"/>
      <c r="G202" s="58"/>
      <c r="H202" s="58"/>
      <c r="I202" s="58"/>
      <c r="J202" s="67" t="s">
        <v>202</v>
      </c>
      <c r="K202" s="81">
        <v>1</v>
      </c>
      <c r="L202" s="68">
        <f>M5</f>
        <v>164022.66</v>
      </c>
      <c r="M202" s="69">
        <f>ROUND(K202*L202,2)</f>
        <v>164022.66</v>
      </c>
      <c r="N202" s="57"/>
      <c r="O202" s="58"/>
      <c r="P202" s="58"/>
      <c r="Q202" s="58"/>
      <c r="R202" s="58"/>
      <c r="S202" s="67" t="s">
        <v>202</v>
      </c>
      <c r="T202" s="81">
        <v>1</v>
      </c>
      <c r="U202" s="10">
        <f>V5</f>
        <v>0</v>
      </c>
      <c r="V202" s="69">
        <f>ROUND(T202*U202,2)</f>
        <v>0</v>
      </c>
    </row>
    <row r="203" spans="1:22" ht="1.2" customHeight="1" x14ac:dyDescent="0.3">
      <c r="A203" s="70"/>
      <c r="B203" s="70"/>
      <c r="C203" s="70"/>
      <c r="D203" s="71"/>
      <c r="E203" s="72"/>
      <c r="F203" s="73"/>
      <c r="G203" s="73"/>
      <c r="H203" s="73"/>
      <c r="I203" s="73"/>
      <c r="J203" s="73"/>
      <c r="K203" s="73"/>
      <c r="L203" s="73"/>
      <c r="M203" s="74"/>
      <c r="N203" s="72"/>
      <c r="O203" s="73"/>
      <c r="P203" s="73"/>
      <c r="Q203" s="73"/>
      <c r="R203" s="73"/>
      <c r="S203" s="73"/>
      <c r="T203" s="73"/>
      <c r="U203" s="11"/>
      <c r="V203" s="74"/>
    </row>
    <row r="204" spans="1:22" x14ac:dyDescent="0.3">
      <c r="A204" s="22" t="s">
        <v>203</v>
      </c>
      <c r="B204" s="22" t="s">
        <v>16</v>
      </c>
      <c r="C204" s="22" t="s">
        <v>17</v>
      </c>
      <c r="D204" s="23" t="s">
        <v>204</v>
      </c>
      <c r="E204" s="24"/>
      <c r="F204" s="25"/>
      <c r="G204" s="25"/>
      <c r="H204" s="25"/>
      <c r="I204" s="25"/>
      <c r="J204" s="25"/>
      <c r="K204" s="26">
        <f>K254</f>
        <v>1</v>
      </c>
      <c r="L204" s="27">
        <f>L254</f>
        <v>29582.85</v>
      </c>
      <c r="M204" s="28">
        <f>M254</f>
        <v>29582.85</v>
      </c>
      <c r="N204" s="24"/>
      <c r="O204" s="25"/>
      <c r="P204" s="25"/>
      <c r="Q204" s="25"/>
      <c r="R204" s="25"/>
      <c r="S204" s="25"/>
      <c r="T204" s="26">
        <f>T254</f>
        <v>1</v>
      </c>
      <c r="U204" s="1">
        <f>U254</f>
        <v>0</v>
      </c>
      <c r="V204" s="28">
        <f>V254</f>
        <v>0</v>
      </c>
    </row>
    <row r="205" spans="1:22" x14ac:dyDescent="0.3">
      <c r="A205" s="29" t="s">
        <v>205</v>
      </c>
      <c r="B205" s="29" t="s">
        <v>16</v>
      </c>
      <c r="C205" s="29" t="s">
        <v>17</v>
      </c>
      <c r="D205" s="30" t="s">
        <v>206</v>
      </c>
      <c r="E205" s="31"/>
      <c r="F205" s="32"/>
      <c r="G205" s="32"/>
      <c r="H205" s="32"/>
      <c r="I205" s="32"/>
      <c r="J205" s="32"/>
      <c r="K205" s="33">
        <f>K214</f>
        <v>1</v>
      </c>
      <c r="L205" s="33">
        <f>L214</f>
        <v>6270.36</v>
      </c>
      <c r="M205" s="34">
        <f>M214</f>
        <v>6270.36</v>
      </c>
      <c r="N205" s="31"/>
      <c r="O205" s="32"/>
      <c r="P205" s="32"/>
      <c r="Q205" s="32"/>
      <c r="R205" s="32"/>
      <c r="S205" s="32"/>
      <c r="T205" s="33">
        <f>T214</f>
        <v>1</v>
      </c>
      <c r="U205" s="2">
        <f>U214</f>
        <v>0</v>
      </c>
      <c r="V205" s="34">
        <f>V214</f>
        <v>0</v>
      </c>
    </row>
    <row r="206" spans="1:22" x14ac:dyDescent="0.3">
      <c r="A206" s="35" t="s">
        <v>207</v>
      </c>
      <c r="B206" s="35" t="s">
        <v>16</v>
      </c>
      <c r="C206" s="35" t="s">
        <v>17</v>
      </c>
      <c r="D206" s="36" t="s">
        <v>208</v>
      </c>
      <c r="E206" s="37"/>
      <c r="F206" s="38"/>
      <c r="G206" s="38"/>
      <c r="H206" s="38"/>
      <c r="I206" s="38"/>
      <c r="J206" s="38"/>
      <c r="K206" s="41">
        <f>K212</f>
        <v>1</v>
      </c>
      <c r="L206" s="41">
        <f>L212</f>
        <v>6270.36</v>
      </c>
      <c r="M206" s="40">
        <f>M212</f>
        <v>6270.36</v>
      </c>
      <c r="N206" s="37"/>
      <c r="O206" s="38"/>
      <c r="P206" s="38"/>
      <c r="Q206" s="38"/>
      <c r="R206" s="38"/>
      <c r="S206" s="38"/>
      <c r="T206" s="41">
        <f>T212</f>
        <v>1</v>
      </c>
      <c r="U206" s="4">
        <f>U212</f>
        <v>0</v>
      </c>
      <c r="V206" s="40">
        <f>V212</f>
        <v>0</v>
      </c>
    </row>
    <row r="207" spans="1:22" ht="20.399999999999999" x14ac:dyDescent="0.3">
      <c r="A207" s="54" t="s">
        <v>209</v>
      </c>
      <c r="B207" s="55" t="s">
        <v>32</v>
      </c>
      <c r="C207" s="55" t="s">
        <v>33</v>
      </c>
      <c r="D207" s="56" t="s">
        <v>210</v>
      </c>
      <c r="E207" s="57"/>
      <c r="F207" s="58"/>
      <c r="G207" s="58"/>
      <c r="H207" s="58"/>
      <c r="I207" s="58"/>
      <c r="J207" s="58"/>
      <c r="K207" s="59">
        <f>K210</f>
        <v>523.84</v>
      </c>
      <c r="L207" s="59">
        <f>L210</f>
        <v>11.97</v>
      </c>
      <c r="M207" s="60">
        <f>M210</f>
        <v>6270.36</v>
      </c>
      <c r="N207" s="57"/>
      <c r="O207" s="58"/>
      <c r="P207" s="58"/>
      <c r="Q207" s="58"/>
      <c r="R207" s="58"/>
      <c r="S207" s="58"/>
      <c r="T207" s="59">
        <f>T210</f>
        <v>523.84</v>
      </c>
      <c r="U207" s="8">
        <f>U210</f>
        <v>0</v>
      </c>
      <c r="V207" s="60">
        <f>V210</f>
        <v>0</v>
      </c>
    </row>
    <row r="208" spans="1:22" ht="61.2" x14ac:dyDescent="0.3">
      <c r="A208" s="61"/>
      <c r="B208" s="61"/>
      <c r="C208" s="61"/>
      <c r="D208" s="56" t="s">
        <v>211</v>
      </c>
      <c r="E208" s="57"/>
      <c r="F208" s="58"/>
      <c r="G208" s="58"/>
      <c r="H208" s="58"/>
      <c r="I208" s="58"/>
      <c r="J208" s="58"/>
      <c r="K208" s="58"/>
      <c r="L208" s="58"/>
      <c r="M208" s="62"/>
      <c r="N208" s="57"/>
      <c r="O208" s="58"/>
      <c r="P208" s="58"/>
      <c r="Q208" s="58"/>
      <c r="R208" s="58"/>
      <c r="S208" s="58"/>
      <c r="T208" s="58"/>
      <c r="U208" s="7"/>
      <c r="V208" s="62"/>
    </row>
    <row r="209" spans="1:22" x14ac:dyDescent="0.3">
      <c r="A209" s="61"/>
      <c r="B209" s="61"/>
      <c r="C209" s="61"/>
      <c r="D209" s="63"/>
      <c r="E209" s="64" t="s">
        <v>17</v>
      </c>
      <c r="F209" s="65">
        <v>1</v>
      </c>
      <c r="G209" s="66">
        <v>1</v>
      </c>
      <c r="H209" s="66">
        <v>2619.1999999999998</v>
      </c>
      <c r="I209" s="66">
        <v>0.2</v>
      </c>
      <c r="J209" s="59">
        <f>OR(F209&lt;&gt;0,G209&lt;&gt;0,H209&lt;&gt;0,I209&lt;&gt;0)*(F209 + (F209 = 0))*(G209 + (G209 = 0))*(H209 + (H209 = 0))*(I209 + (I209 = 0))</f>
        <v>523.84</v>
      </c>
      <c r="K209" s="58"/>
      <c r="L209" s="58"/>
      <c r="M209" s="62"/>
      <c r="N209" s="64" t="s">
        <v>17</v>
      </c>
      <c r="O209" s="65">
        <v>1</v>
      </c>
      <c r="P209" s="66">
        <v>1</v>
      </c>
      <c r="Q209" s="66">
        <v>2619.1999999999998</v>
      </c>
      <c r="R209" s="66">
        <v>0.2</v>
      </c>
      <c r="S209" s="59">
        <f>OR(O209&lt;&gt;0,P209&lt;&gt;0,Q209&lt;&gt;0,R209&lt;&gt;0)*(O209 + (O209 = 0))*(P209 + (P209 = 0))*(Q209 + (Q209 = 0))*(R209 + (R209 = 0))</f>
        <v>523.84</v>
      </c>
      <c r="T209" s="58"/>
      <c r="U209" s="7"/>
      <c r="V209" s="62"/>
    </row>
    <row r="210" spans="1:22" x14ac:dyDescent="0.3">
      <c r="A210" s="61"/>
      <c r="B210" s="61"/>
      <c r="C210" s="61"/>
      <c r="D210" s="63"/>
      <c r="E210" s="57"/>
      <c r="F210" s="58"/>
      <c r="G210" s="58"/>
      <c r="H210" s="58"/>
      <c r="I210" s="58"/>
      <c r="J210" s="67" t="s">
        <v>212</v>
      </c>
      <c r="K210" s="68">
        <f>J209*1</f>
        <v>523.84</v>
      </c>
      <c r="L210" s="66">
        <f>11.29*1.06</f>
        <v>11.97</v>
      </c>
      <c r="M210" s="69">
        <f>ROUND(K210*L210,2)</f>
        <v>6270.36</v>
      </c>
      <c r="N210" s="57"/>
      <c r="O210" s="58"/>
      <c r="P210" s="58"/>
      <c r="Q210" s="58"/>
      <c r="R210" s="58"/>
      <c r="S210" s="67" t="s">
        <v>212</v>
      </c>
      <c r="T210" s="68">
        <f>S209*1</f>
        <v>523.84</v>
      </c>
      <c r="U210" s="9">
        <v>0</v>
      </c>
      <c r="V210" s="69">
        <f>ROUND(T210*U210,2)</f>
        <v>0</v>
      </c>
    </row>
    <row r="211" spans="1:22" ht="1.2" customHeight="1" x14ac:dyDescent="0.3">
      <c r="A211" s="70"/>
      <c r="B211" s="70"/>
      <c r="C211" s="70"/>
      <c r="D211" s="71"/>
      <c r="E211" s="72"/>
      <c r="F211" s="73"/>
      <c r="G211" s="73"/>
      <c r="H211" s="73"/>
      <c r="I211" s="73"/>
      <c r="J211" s="73"/>
      <c r="K211" s="73"/>
      <c r="L211" s="73"/>
      <c r="M211" s="74"/>
      <c r="N211" s="72"/>
      <c r="O211" s="73"/>
      <c r="P211" s="73"/>
      <c r="Q211" s="73"/>
      <c r="R211" s="73"/>
      <c r="S211" s="73"/>
      <c r="T211" s="73"/>
      <c r="U211" s="11"/>
      <c r="V211" s="74"/>
    </row>
    <row r="212" spans="1:22" x14ac:dyDescent="0.3">
      <c r="A212" s="61"/>
      <c r="B212" s="61"/>
      <c r="C212" s="61"/>
      <c r="D212" s="63"/>
      <c r="E212" s="57"/>
      <c r="F212" s="58"/>
      <c r="G212" s="58"/>
      <c r="H212" s="58"/>
      <c r="I212" s="58"/>
      <c r="J212" s="67" t="s">
        <v>213</v>
      </c>
      <c r="K212" s="66">
        <v>1</v>
      </c>
      <c r="L212" s="68">
        <f>M207</f>
        <v>6270.36</v>
      </c>
      <c r="M212" s="69">
        <f>ROUND(K212*L212,2)</f>
        <v>6270.36</v>
      </c>
      <c r="N212" s="57"/>
      <c r="O212" s="58"/>
      <c r="P212" s="58"/>
      <c r="Q212" s="58"/>
      <c r="R212" s="58"/>
      <c r="S212" s="67" t="s">
        <v>213</v>
      </c>
      <c r="T212" s="66">
        <v>1</v>
      </c>
      <c r="U212" s="10">
        <f>V207</f>
        <v>0</v>
      </c>
      <c r="V212" s="69">
        <f>ROUND(T212*U212,2)</f>
        <v>0</v>
      </c>
    </row>
    <row r="213" spans="1:22" ht="1.2" customHeight="1" x14ac:dyDescent="0.3">
      <c r="A213" s="70"/>
      <c r="B213" s="70"/>
      <c r="C213" s="70"/>
      <c r="D213" s="71"/>
      <c r="E213" s="72"/>
      <c r="F213" s="73"/>
      <c r="G213" s="73"/>
      <c r="H213" s="73"/>
      <c r="I213" s="73"/>
      <c r="J213" s="73"/>
      <c r="K213" s="73"/>
      <c r="L213" s="73"/>
      <c r="M213" s="74"/>
      <c r="N213" s="72"/>
      <c r="O213" s="73"/>
      <c r="P213" s="73"/>
      <c r="Q213" s="73"/>
      <c r="R213" s="73"/>
      <c r="S213" s="73"/>
      <c r="T213" s="73"/>
      <c r="U213" s="11"/>
      <c r="V213" s="74"/>
    </row>
    <row r="214" spans="1:22" x14ac:dyDescent="0.3">
      <c r="A214" s="61"/>
      <c r="B214" s="61"/>
      <c r="C214" s="61"/>
      <c r="D214" s="63"/>
      <c r="E214" s="57"/>
      <c r="F214" s="58"/>
      <c r="G214" s="58"/>
      <c r="H214" s="58"/>
      <c r="I214" s="58"/>
      <c r="J214" s="67" t="s">
        <v>214</v>
      </c>
      <c r="K214" s="66">
        <v>1</v>
      </c>
      <c r="L214" s="68">
        <f>M206</f>
        <v>6270.36</v>
      </c>
      <c r="M214" s="69">
        <f>ROUND(K214*L214,2)</f>
        <v>6270.36</v>
      </c>
      <c r="N214" s="57"/>
      <c r="O214" s="58"/>
      <c r="P214" s="58"/>
      <c r="Q214" s="58"/>
      <c r="R214" s="58"/>
      <c r="S214" s="67" t="s">
        <v>214</v>
      </c>
      <c r="T214" s="66">
        <v>1</v>
      </c>
      <c r="U214" s="10">
        <f>V206</f>
        <v>0</v>
      </c>
      <c r="V214" s="69">
        <f>ROUND(T214*U214,2)</f>
        <v>0</v>
      </c>
    </row>
    <row r="215" spans="1:22" ht="1.2" customHeight="1" x14ac:dyDescent="0.3">
      <c r="A215" s="70"/>
      <c r="B215" s="70"/>
      <c r="C215" s="70"/>
      <c r="D215" s="71"/>
      <c r="E215" s="72"/>
      <c r="F215" s="73"/>
      <c r="G215" s="73"/>
      <c r="H215" s="73"/>
      <c r="I215" s="73"/>
      <c r="J215" s="73"/>
      <c r="K215" s="73"/>
      <c r="L215" s="73"/>
      <c r="M215" s="74"/>
      <c r="N215" s="72"/>
      <c r="O215" s="73"/>
      <c r="P215" s="73"/>
      <c r="Q215" s="73"/>
      <c r="R215" s="73"/>
      <c r="S215" s="73"/>
      <c r="T215" s="73"/>
      <c r="U215" s="11"/>
      <c r="V215" s="74"/>
    </row>
    <row r="216" spans="1:22" x14ac:dyDescent="0.3">
      <c r="A216" s="29" t="s">
        <v>215</v>
      </c>
      <c r="B216" s="29" t="s">
        <v>16</v>
      </c>
      <c r="C216" s="29" t="s">
        <v>17</v>
      </c>
      <c r="D216" s="30" t="s">
        <v>216</v>
      </c>
      <c r="E216" s="31"/>
      <c r="F216" s="32"/>
      <c r="G216" s="32"/>
      <c r="H216" s="32"/>
      <c r="I216" s="32"/>
      <c r="J216" s="32"/>
      <c r="K216" s="33">
        <f>K241</f>
        <v>1</v>
      </c>
      <c r="L216" s="33">
        <f>L241</f>
        <v>18421.95</v>
      </c>
      <c r="M216" s="34">
        <f>M241</f>
        <v>18421.95</v>
      </c>
      <c r="N216" s="31"/>
      <c r="O216" s="32"/>
      <c r="P216" s="32"/>
      <c r="Q216" s="32"/>
      <c r="R216" s="32"/>
      <c r="S216" s="32"/>
      <c r="T216" s="33">
        <f>T241</f>
        <v>1</v>
      </c>
      <c r="U216" s="2">
        <f>U241</f>
        <v>0</v>
      </c>
      <c r="V216" s="34">
        <f>V241</f>
        <v>0</v>
      </c>
    </row>
    <row r="217" spans="1:22" x14ac:dyDescent="0.3">
      <c r="A217" s="35" t="s">
        <v>217</v>
      </c>
      <c r="B217" s="35" t="s">
        <v>16</v>
      </c>
      <c r="C217" s="35" t="s">
        <v>17</v>
      </c>
      <c r="D217" s="36" t="s">
        <v>218</v>
      </c>
      <c r="E217" s="37"/>
      <c r="F217" s="38"/>
      <c r="G217" s="38"/>
      <c r="H217" s="38"/>
      <c r="I217" s="38"/>
      <c r="J217" s="38"/>
      <c r="K217" s="41">
        <f>K223</f>
        <v>1</v>
      </c>
      <c r="L217" s="41">
        <f>L223</f>
        <v>10890.63</v>
      </c>
      <c r="M217" s="40">
        <f>M223</f>
        <v>10890.63</v>
      </c>
      <c r="N217" s="37"/>
      <c r="O217" s="38"/>
      <c r="P217" s="38"/>
      <c r="Q217" s="38"/>
      <c r="R217" s="38"/>
      <c r="S217" s="38"/>
      <c r="T217" s="41">
        <f>T223</f>
        <v>1</v>
      </c>
      <c r="U217" s="4">
        <f>U223</f>
        <v>0</v>
      </c>
      <c r="V217" s="40">
        <f>V223</f>
        <v>0</v>
      </c>
    </row>
    <row r="218" spans="1:22" x14ac:dyDescent="0.3">
      <c r="A218" s="54" t="s">
        <v>219</v>
      </c>
      <c r="B218" s="55" t="s">
        <v>32</v>
      </c>
      <c r="C218" s="55" t="s">
        <v>33</v>
      </c>
      <c r="D218" s="56" t="s">
        <v>220</v>
      </c>
      <c r="E218" s="57"/>
      <c r="F218" s="58"/>
      <c r="G218" s="58"/>
      <c r="H218" s="58"/>
      <c r="I218" s="58"/>
      <c r="J218" s="58"/>
      <c r="K218" s="59">
        <f>K221</f>
        <v>523.84</v>
      </c>
      <c r="L218" s="59">
        <f>L221</f>
        <v>20.79</v>
      </c>
      <c r="M218" s="60">
        <f>M221</f>
        <v>10890.63</v>
      </c>
      <c r="N218" s="57"/>
      <c r="O218" s="58"/>
      <c r="P218" s="58"/>
      <c r="Q218" s="58"/>
      <c r="R218" s="58"/>
      <c r="S218" s="58"/>
      <c r="T218" s="59">
        <f>T221</f>
        <v>523.84</v>
      </c>
      <c r="U218" s="8">
        <f>U221</f>
        <v>0</v>
      </c>
      <c r="V218" s="60">
        <f>V221</f>
        <v>0</v>
      </c>
    </row>
    <row r="219" spans="1:22" ht="30.6" x14ac:dyDescent="0.3">
      <c r="A219" s="61"/>
      <c r="B219" s="61"/>
      <c r="C219" s="61"/>
      <c r="D219" s="56" t="s">
        <v>221</v>
      </c>
      <c r="E219" s="57"/>
      <c r="F219" s="58"/>
      <c r="G219" s="58"/>
      <c r="H219" s="58"/>
      <c r="I219" s="58"/>
      <c r="J219" s="58"/>
      <c r="K219" s="58"/>
      <c r="L219" s="58"/>
      <c r="M219" s="62"/>
      <c r="N219" s="57"/>
      <c r="O219" s="58"/>
      <c r="P219" s="58"/>
      <c r="Q219" s="58"/>
      <c r="R219" s="58"/>
      <c r="S219" s="58"/>
      <c r="T219" s="58"/>
      <c r="U219" s="7"/>
      <c r="V219" s="62"/>
    </row>
    <row r="220" spans="1:22" x14ac:dyDescent="0.3">
      <c r="A220" s="61"/>
      <c r="B220" s="61"/>
      <c r="C220" s="61"/>
      <c r="D220" s="63"/>
      <c r="E220" s="64" t="s">
        <v>17</v>
      </c>
      <c r="F220" s="65">
        <v>1</v>
      </c>
      <c r="G220" s="66">
        <v>1</v>
      </c>
      <c r="H220" s="66">
        <v>2619.1999999999998</v>
      </c>
      <c r="I220" s="66">
        <v>0.2</v>
      </c>
      <c r="J220" s="59">
        <f>OR(F220&lt;&gt;0,G220&lt;&gt;0,H220&lt;&gt;0,I220&lt;&gt;0)*(F220 + (F220 = 0))*(G220 + (G220 = 0))*(H220 + (H220 = 0))*(I220 + (I220 = 0))</f>
        <v>523.84</v>
      </c>
      <c r="K220" s="58"/>
      <c r="L220" s="58"/>
      <c r="M220" s="62"/>
      <c r="N220" s="64" t="s">
        <v>17</v>
      </c>
      <c r="O220" s="65">
        <v>1</v>
      </c>
      <c r="P220" s="66">
        <v>1</v>
      </c>
      <c r="Q220" s="66">
        <v>2619.1999999999998</v>
      </c>
      <c r="R220" s="66">
        <v>0.2</v>
      </c>
      <c r="S220" s="59">
        <f>OR(O220&lt;&gt;0,P220&lt;&gt;0,Q220&lt;&gt;0,R220&lt;&gt;0)*(O220 + (O220 = 0))*(P220 + (P220 = 0))*(Q220 + (Q220 = 0))*(R220 + (R220 = 0))</f>
        <v>523.84</v>
      </c>
      <c r="T220" s="58"/>
      <c r="U220" s="7"/>
      <c r="V220" s="62"/>
    </row>
    <row r="221" spans="1:22" x14ac:dyDescent="0.3">
      <c r="A221" s="61"/>
      <c r="B221" s="61"/>
      <c r="C221" s="61"/>
      <c r="D221" s="63"/>
      <c r="E221" s="57"/>
      <c r="F221" s="58"/>
      <c r="G221" s="58"/>
      <c r="H221" s="58"/>
      <c r="I221" s="58"/>
      <c r="J221" s="67" t="s">
        <v>222</v>
      </c>
      <c r="K221" s="68">
        <f>J220*1</f>
        <v>523.84</v>
      </c>
      <c r="L221" s="66">
        <f>19.61*1.06</f>
        <v>20.79</v>
      </c>
      <c r="M221" s="69">
        <f>ROUND(K221*L221,2)</f>
        <v>10890.63</v>
      </c>
      <c r="N221" s="57"/>
      <c r="O221" s="58"/>
      <c r="P221" s="58"/>
      <c r="Q221" s="58"/>
      <c r="R221" s="58"/>
      <c r="S221" s="67" t="s">
        <v>222</v>
      </c>
      <c r="T221" s="68">
        <f>S220*1</f>
        <v>523.84</v>
      </c>
      <c r="U221" s="9">
        <v>0</v>
      </c>
      <c r="V221" s="69">
        <f>ROUND(T221*U221,2)</f>
        <v>0</v>
      </c>
    </row>
    <row r="222" spans="1:22" ht="1.2" customHeight="1" x14ac:dyDescent="0.3">
      <c r="A222" s="70"/>
      <c r="B222" s="70"/>
      <c r="C222" s="70"/>
      <c r="D222" s="71"/>
      <c r="E222" s="72"/>
      <c r="F222" s="73"/>
      <c r="G222" s="73"/>
      <c r="H222" s="73"/>
      <c r="I222" s="73"/>
      <c r="J222" s="73"/>
      <c r="K222" s="73"/>
      <c r="L222" s="73"/>
      <c r="M222" s="74"/>
      <c r="N222" s="72"/>
      <c r="O222" s="73"/>
      <c r="P222" s="73"/>
      <c r="Q222" s="73"/>
      <c r="R222" s="73"/>
      <c r="S222" s="73"/>
      <c r="T222" s="73"/>
      <c r="U222" s="11"/>
      <c r="V222" s="74"/>
    </row>
    <row r="223" spans="1:22" x14ac:dyDescent="0.3">
      <c r="A223" s="61"/>
      <c r="B223" s="61"/>
      <c r="C223" s="61"/>
      <c r="D223" s="63"/>
      <c r="E223" s="57"/>
      <c r="F223" s="58"/>
      <c r="G223" s="58"/>
      <c r="H223" s="58"/>
      <c r="I223" s="58"/>
      <c r="J223" s="67" t="s">
        <v>223</v>
      </c>
      <c r="K223" s="66">
        <v>1</v>
      </c>
      <c r="L223" s="68">
        <f>M218</f>
        <v>10890.63</v>
      </c>
      <c r="M223" s="69">
        <f>ROUND(K223*L223,2)</f>
        <v>10890.63</v>
      </c>
      <c r="N223" s="57"/>
      <c r="O223" s="58"/>
      <c r="P223" s="58"/>
      <c r="Q223" s="58"/>
      <c r="R223" s="58"/>
      <c r="S223" s="67" t="s">
        <v>223</v>
      </c>
      <c r="T223" s="66">
        <v>1</v>
      </c>
      <c r="U223" s="10">
        <f>V218</f>
        <v>0</v>
      </c>
      <c r="V223" s="69">
        <f>ROUND(T223*U223,2)</f>
        <v>0</v>
      </c>
    </row>
    <row r="224" spans="1:22" ht="1.2" customHeight="1" x14ac:dyDescent="0.3">
      <c r="A224" s="70"/>
      <c r="B224" s="70"/>
      <c r="C224" s="70"/>
      <c r="D224" s="71"/>
      <c r="E224" s="72"/>
      <c r="F224" s="73"/>
      <c r="G224" s="73"/>
      <c r="H224" s="73"/>
      <c r="I224" s="73"/>
      <c r="J224" s="73"/>
      <c r="K224" s="73"/>
      <c r="L224" s="73"/>
      <c r="M224" s="74"/>
      <c r="N224" s="72"/>
      <c r="O224" s="73"/>
      <c r="P224" s="73"/>
      <c r="Q224" s="73"/>
      <c r="R224" s="73"/>
      <c r="S224" s="73"/>
      <c r="T224" s="73"/>
      <c r="U224" s="11"/>
      <c r="V224" s="74"/>
    </row>
    <row r="225" spans="1:22" x14ac:dyDescent="0.3">
      <c r="A225" s="35" t="s">
        <v>224</v>
      </c>
      <c r="B225" s="35" t="s">
        <v>16</v>
      </c>
      <c r="C225" s="35" t="s">
        <v>17</v>
      </c>
      <c r="D225" s="36" t="s">
        <v>225</v>
      </c>
      <c r="E225" s="37"/>
      <c r="F225" s="38"/>
      <c r="G225" s="38"/>
      <c r="H225" s="38"/>
      <c r="I225" s="38"/>
      <c r="J225" s="38"/>
      <c r="K225" s="41">
        <f>K231</f>
        <v>1</v>
      </c>
      <c r="L225" s="41">
        <f>L231</f>
        <v>318.04000000000002</v>
      </c>
      <c r="M225" s="40">
        <f>M231</f>
        <v>318.04000000000002</v>
      </c>
      <c r="N225" s="37"/>
      <c r="O225" s="38"/>
      <c r="P225" s="38"/>
      <c r="Q225" s="38"/>
      <c r="R225" s="38"/>
      <c r="S225" s="38"/>
      <c r="T225" s="41">
        <f>T231</f>
        <v>1</v>
      </c>
      <c r="U225" s="4">
        <f>U231</f>
        <v>0</v>
      </c>
      <c r="V225" s="40">
        <f>V231</f>
        <v>0</v>
      </c>
    </row>
    <row r="226" spans="1:22" x14ac:dyDescent="0.3">
      <c r="A226" s="54" t="s">
        <v>226</v>
      </c>
      <c r="B226" s="55" t="s">
        <v>32</v>
      </c>
      <c r="C226" s="55" t="s">
        <v>185</v>
      </c>
      <c r="D226" s="56" t="s">
        <v>227</v>
      </c>
      <c r="E226" s="57"/>
      <c r="F226" s="58"/>
      <c r="G226" s="58"/>
      <c r="H226" s="58"/>
      <c r="I226" s="58"/>
      <c r="J226" s="58"/>
      <c r="K226" s="59">
        <f>K229</f>
        <v>4</v>
      </c>
      <c r="L226" s="59">
        <f>L229</f>
        <v>79.510000000000005</v>
      </c>
      <c r="M226" s="60">
        <f>M229</f>
        <v>318.04000000000002</v>
      </c>
      <c r="N226" s="57"/>
      <c r="O226" s="58"/>
      <c r="P226" s="58"/>
      <c r="Q226" s="58"/>
      <c r="R226" s="58"/>
      <c r="S226" s="58"/>
      <c r="T226" s="59">
        <f>T229</f>
        <v>4</v>
      </c>
      <c r="U226" s="8">
        <f>U229</f>
        <v>0</v>
      </c>
      <c r="V226" s="60">
        <f>V229</f>
        <v>0</v>
      </c>
    </row>
    <row r="227" spans="1:22" ht="61.2" x14ac:dyDescent="0.3">
      <c r="A227" s="61"/>
      <c r="B227" s="61"/>
      <c r="C227" s="61"/>
      <c r="D227" s="56" t="s">
        <v>228</v>
      </c>
      <c r="E227" s="57"/>
      <c r="F227" s="58"/>
      <c r="G227" s="58"/>
      <c r="H227" s="58"/>
      <c r="I227" s="58"/>
      <c r="J227" s="58"/>
      <c r="K227" s="58"/>
      <c r="L227" s="58"/>
      <c r="M227" s="62"/>
      <c r="N227" s="57"/>
      <c r="O227" s="58"/>
      <c r="P227" s="58"/>
      <c r="Q227" s="58"/>
      <c r="R227" s="58"/>
      <c r="S227" s="58"/>
      <c r="T227" s="58"/>
      <c r="U227" s="7"/>
      <c r="V227" s="62"/>
    </row>
    <row r="228" spans="1:22" x14ac:dyDescent="0.3">
      <c r="A228" s="61"/>
      <c r="B228" s="61"/>
      <c r="C228" s="61"/>
      <c r="D228" s="63"/>
      <c r="E228" s="64" t="s">
        <v>17</v>
      </c>
      <c r="F228" s="65">
        <v>4</v>
      </c>
      <c r="G228" s="66">
        <v>0</v>
      </c>
      <c r="H228" s="66">
        <v>0</v>
      </c>
      <c r="I228" s="66">
        <v>0</v>
      </c>
      <c r="J228" s="59">
        <f>OR(F228&lt;&gt;0,G228&lt;&gt;0,H228&lt;&gt;0,I228&lt;&gt;0)*(F228 + (F228 = 0))*(G228 + (G228 = 0))*(H228 + (H228 = 0))*(I228 + (I228 = 0))</f>
        <v>4</v>
      </c>
      <c r="K228" s="58"/>
      <c r="L228" s="58"/>
      <c r="M228" s="62"/>
      <c r="N228" s="64" t="s">
        <v>17</v>
      </c>
      <c r="O228" s="65">
        <v>4</v>
      </c>
      <c r="P228" s="66">
        <v>0</v>
      </c>
      <c r="Q228" s="66">
        <v>0</v>
      </c>
      <c r="R228" s="66">
        <v>0</v>
      </c>
      <c r="S228" s="59">
        <f>OR(O228&lt;&gt;0,P228&lt;&gt;0,Q228&lt;&gt;0,R228&lt;&gt;0)*(O228 + (O228 = 0))*(P228 + (P228 = 0))*(Q228 + (Q228 = 0))*(R228 + (R228 = 0))</f>
        <v>4</v>
      </c>
      <c r="T228" s="58"/>
      <c r="U228" s="7"/>
      <c r="V228" s="62"/>
    </row>
    <row r="229" spans="1:22" x14ac:dyDescent="0.3">
      <c r="A229" s="61"/>
      <c r="B229" s="61"/>
      <c r="C229" s="61"/>
      <c r="D229" s="63"/>
      <c r="E229" s="57"/>
      <c r="F229" s="58"/>
      <c r="G229" s="58"/>
      <c r="H229" s="58"/>
      <c r="I229" s="58"/>
      <c r="J229" s="67" t="s">
        <v>229</v>
      </c>
      <c r="K229" s="68">
        <f>J228*1</f>
        <v>4</v>
      </c>
      <c r="L229" s="66">
        <f>75.01*1.06</f>
        <v>79.510000000000005</v>
      </c>
      <c r="M229" s="69">
        <f>ROUND(K229*L229,2)</f>
        <v>318.04000000000002</v>
      </c>
      <c r="N229" s="57"/>
      <c r="O229" s="58"/>
      <c r="P229" s="58"/>
      <c r="Q229" s="58"/>
      <c r="R229" s="58"/>
      <c r="S229" s="67" t="s">
        <v>229</v>
      </c>
      <c r="T229" s="68">
        <f>S228*1</f>
        <v>4</v>
      </c>
      <c r="U229" s="9">
        <v>0</v>
      </c>
      <c r="V229" s="69">
        <f>ROUND(T229*U229,2)</f>
        <v>0</v>
      </c>
    </row>
    <row r="230" spans="1:22" ht="1.2" customHeight="1" x14ac:dyDescent="0.3">
      <c r="A230" s="70"/>
      <c r="B230" s="70"/>
      <c r="C230" s="70"/>
      <c r="D230" s="71"/>
      <c r="E230" s="72"/>
      <c r="F230" s="73"/>
      <c r="G230" s="73"/>
      <c r="H230" s="73"/>
      <c r="I230" s="73"/>
      <c r="J230" s="73"/>
      <c r="K230" s="73"/>
      <c r="L230" s="73"/>
      <c r="M230" s="74"/>
      <c r="N230" s="72"/>
      <c r="O230" s="73"/>
      <c r="P230" s="73"/>
      <c r="Q230" s="73"/>
      <c r="R230" s="73"/>
      <c r="S230" s="73"/>
      <c r="T230" s="73"/>
      <c r="U230" s="11"/>
      <c r="V230" s="74"/>
    </row>
    <row r="231" spans="1:22" x14ac:dyDescent="0.3">
      <c r="A231" s="61"/>
      <c r="B231" s="61"/>
      <c r="C231" s="61"/>
      <c r="D231" s="63"/>
      <c r="E231" s="57"/>
      <c r="F231" s="58"/>
      <c r="G231" s="58"/>
      <c r="H231" s="58"/>
      <c r="I231" s="58"/>
      <c r="J231" s="67" t="s">
        <v>230</v>
      </c>
      <c r="K231" s="66">
        <v>1</v>
      </c>
      <c r="L231" s="68">
        <f>M226</f>
        <v>318.04000000000002</v>
      </c>
      <c r="M231" s="69">
        <f>ROUND(K231*L231,2)</f>
        <v>318.04000000000002</v>
      </c>
      <c r="N231" s="57"/>
      <c r="O231" s="58"/>
      <c r="P231" s="58"/>
      <c r="Q231" s="58"/>
      <c r="R231" s="58"/>
      <c r="S231" s="67" t="s">
        <v>230</v>
      </c>
      <c r="T231" s="66">
        <v>1</v>
      </c>
      <c r="U231" s="10">
        <f>V226</f>
        <v>0</v>
      </c>
      <c r="V231" s="69">
        <f>ROUND(T231*U231,2)</f>
        <v>0</v>
      </c>
    </row>
    <row r="232" spans="1:22" ht="1.2" customHeight="1" x14ac:dyDescent="0.3">
      <c r="A232" s="70"/>
      <c r="B232" s="70"/>
      <c r="C232" s="70"/>
      <c r="D232" s="71"/>
      <c r="E232" s="72"/>
      <c r="F232" s="73"/>
      <c r="G232" s="73"/>
      <c r="H232" s="73"/>
      <c r="I232" s="73"/>
      <c r="J232" s="73"/>
      <c r="K232" s="73"/>
      <c r="L232" s="73"/>
      <c r="M232" s="74"/>
      <c r="N232" s="72"/>
      <c r="O232" s="73"/>
      <c r="P232" s="73"/>
      <c r="Q232" s="73"/>
      <c r="R232" s="73"/>
      <c r="S232" s="73"/>
      <c r="T232" s="73"/>
      <c r="U232" s="11"/>
      <c r="V232" s="74"/>
    </row>
    <row r="233" spans="1:22" x14ac:dyDescent="0.3">
      <c r="A233" s="35" t="s">
        <v>231</v>
      </c>
      <c r="B233" s="35" t="s">
        <v>16</v>
      </c>
      <c r="C233" s="35" t="s">
        <v>17</v>
      </c>
      <c r="D233" s="36" t="s">
        <v>232</v>
      </c>
      <c r="E233" s="37"/>
      <c r="F233" s="38"/>
      <c r="G233" s="38"/>
      <c r="H233" s="38"/>
      <c r="I233" s="38"/>
      <c r="J233" s="38"/>
      <c r="K233" s="41">
        <f>K239</f>
        <v>1</v>
      </c>
      <c r="L233" s="41">
        <f>L239</f>
        <v>7213.28</v>
      </c>
      <c r="M233" s="40">
        <f>M239</f>
        <v>7213.28</v>
      </c>
      <c r="N233" s="37"/>
      <c r="O233" s="38"/>
      <c r="P233" s="38"/>
      <c r="Q233" s="38"/>
      <c r="R233" s="38"/>
      <c r="S233" s="38"/>
      <c r="T233" s="41">
        <f>T239</f>
        <v>1</v>
      </c>
      <c r="U233" s="4">
        <f>U239</f>
        <v>0</v>
      </c>
      <c r="V233" s="40">
        <f>V239</f>
        <v>0</v>
      </c>
    </row>
    <row r="234" spans="1:22" x14ac:dyDescent="0.3">
      <c r="A234" s="54" t="s">
        <v>233</v>
      </c>
      <c r="B234" s="55" t="s">
        <v>32</v>
      </c>
      <c r="C234" s="55" t="s">
        <v>33</v>
      </c>
      <c r="D234" s="56" t="s">
        <v>234</v>
      </c>
      <c r="E234" s="57"/>
      <c r="F234" s="58"/>
      <c r="G234" s="58"/>
      <c r="H234" s="58"/>
      <c r="I234" s="58"/>
      <c r="J234" s="58"/>
      <c r="K234" s="59">
        <f>K237</f>
        <v>523.84</v>
      </c>
      <c r="L234" s="59">
        <f>L237</f>
        <v>13.77</v>
      </c>
      <c r="M234" s="60">
        <f>M237</f>
        <v>7213.28</v>
      </c>
      <c r="N234" s="57"/>
      <c r="O234" s="58"/>
      <c r="P234" s="58"/>
      <c r="Q234" s="58"/>
      <c r="R234" s="58"/>
      <c r="S234" s="58"/>
      <c r="T234" s="59">
        <f>T237</f>
        <v>523.84</v>
      </c>
      <c r="U234" s="8">
        <f>U237</f>
        <v>0</v>
      </c>
      <c r="V234" s="60">
        <f>V237</f>
        <v>0</v>
      </c>
    </row>
    <row r="235" spans="1:22" ht="61.2" x14ac:dyDescent="0.3">
      <c r="A235" s="61"/>
      <c r="B235" s="61"/>
      <c r="C235" s="61"/>
      <c r="D235" s="56" t="s">
        <v>235</v>
      </c>
      <c r="E235" s="57"/>
      <c r="F235" s="58"/>
      <c r="G235" s="58"/>
      <c r="H235" s="58"/>
      <c r="I235" s="58"/>
      <c r="J235" s="58"/>
      <c r="K235" s="58"/>
      <c r="L235" s="58"/>
      <c r="M235" s="62"/>
      <c r="N235" s="57"/>
      <c r="O235" s="58"/>
      <c r="P235" s="58"/>
      <c r="Q235" s="58"/>
      <c r="R235" s="58"/>
      <c r="S235" s="58"/>
      <c r="T235" s="58"/>
      <c r="U235" s="7"/>
      <c r="V235" s="62"/>
    </row>
    <row r="236" spans="1:22" x14ac:dyDescent="0.3">
      <c r="A236" s="61"/>
      <c r="B236" s="61"/>
      <c r="C236" s="61"/>
      <c r="D236" s="63"/>
      <c r="E236" s="64" t="s">
        <v>17</v>
      </c>
      <c r="F236" s="65">
        <v>1</v>
      </c>
      <c r="G236" s="66">
        <v>1</v>
      </c>
      <c r="H236" s="66">
        <v>2619.1999999999998</v>
      </c>
      <c r="I236" s="66">
        <v>0.2</v>
      </c>
      <c r="J236" s="59">
        <f>OR(F236&lt;&gt;0,G236&lt;&gt;0,H236&lt;&gt;0,I236&lt;&gt;0)*(F236 + (F236 = 0))*(G236 + (G236 = 0))*(H236 + (H236 = 0))*(I236 + (I236 = 0))</f>
        <v>523.84</v>
      </c>
      <c r="K236" s="58"/>
      <c r="L236" s="58"/>
      <c r="M236" s="62"/>
      <c r="N236" s="64" t="s">
        <v>17</v>
      </c>
      <c r="O236" s="65">
        <v>1</v>
      </c>
      <c r="P236" s="66">
        <v>1</v>
      </c>
      <c r="Q236" s="66">
        <v>2619.1999999999998</v>
      </c>
      <c r="R236" s="66">
        <v>0.2</v>
      </c>
      <c r="S236" s="59">
        <f>OR(O236&lt;&gt;0,P236&lt;&gt;0,Q236&lt;&gt;0,R236&lt;&gt;0)*(O236 + (O236 = 0))*(P236 + (P236 = 0))*(Q236 + (Q236 = 0))*(R236 + (R236 = 0))</f>
        <v>523.84</v>
      </c>
      <c r="T236" s="58"/>
      <c r="U236" s="7"/>
      <c r="V236" s="62"/>
    </row>
    <row r="237" spans="1:22" x14ac:dyDescent="0.3">
      <c r="A237" s="61"/>
      <c r="B237" s="61"/>
      <c r="C237" s="61"/>
      <c r="D237" s="63"/>
      <c r="E237" s="57"/>
      <c r="F237" s="58"/>
      <c r="G237" s="58"/>
      <c r="H237" s="58"/>
      <c r="I237" s="58"/>
      <c r="J237" s="67" t="s">
        <v>236</v>
      </c>
      <c r="K237" s="68">
        <f>J236*1</f>
        <v>523.84</v>
      </c>
      <c r="L237" s="66">
        <f>12.99*1.06</f>
        <v>13.77</v>
      </c>
      <c r="M237" s="69">
        <f>ROUND(K237*L237,2)</f>
        <v>7213.28</v>
      </c>
      <c r="N237" s="57"/>
      <c r="O237" s="58"/>
      <c r="P237" s="58"/>
      <c r="Q237" s="58"/>
      <c r="R237" s="58"/>
      <c r="S237" s="67" t="s">
        <v>236</v>
      </c>
      <c r="T237" s="68">
        <f>S236*1</f>
        <v>523.84</v>
      </c>
      <c r="U237" s="9">
        <v>0</v>
      </c>
      <c r="V237" s="69">
        <f>ROUND(T237*U237,2)</f>
        <v>0</v>
      </c>
    </row>
    <row r="238" spans="1:22" ht="1.2" customHeight="1" x14ac:dyDescent="0.3">
      <c r="A238" s="70"/>
      <c r="B238" s="70"/>
      <c r="C238" s="70"/>
      <c r="D238" s="71"/>
      <c r="E238" s="72"/>
      <c r="F238" s="73"/>
      <c r="G238" s="73"/>
      <c r="H238" s="73"/>
      <c r="I238" s="73"/>
      <c r="J238" s="73"/>
      <c r="K238" s="73"/>
      <c r="L238" s="73"/>
      <c r="M238" s="74"/>
      <c r="N238" s="72"/>
      <c r="O238" s="73"/>
      <c r="P238" s="73"/>
      <c r="Q238" s="73"/>
      <c r="R238" s="73"/>
      <c r="S238" s="73"/>
      <c r="T238" s="73"/>
      <c r="U238" s="11"/>
      <c r="V238" s="74"/>
    </row>
    <row r="239" spans="1:22" x14ac:dyDescent="0.3">
      <c r="A239" s="61"/>
      <c r="B239" s="61"/>
      <c r="C239" s="61"/>
      <c r="D239" s="63"/>
      <c r="E239" s="57"/>
      <c r="F239" s="58"/>
      <c r="G239" s="58"/>
      <c r="H239" s="58"/>
      <c r="I239" s="58"/>
      <c r="J239" s="67" t="s">
        <v>237</v>
      </c>
      <c r="K239" s="66">
        <v>1</v>
      </c>
      <c r="L239" s="68">
        <f>M234</f>
        <v>7213.28</v>
      </c>
      <c r="M239" s="69">
        <f>ROUND(K239*L239,2)</f>
        <v>7213.28</v>
      </c>
      <c r="N239" s="57"/>
      <c r="O239" s="58"/>
      <c r="P239" s="58"/>
      <c r="Q239" s="58"/>
      <c r="R239" s="58"/>
      <c r="S239" s="67" t="s">
        <v>237</v>
      </c>
      <c r="T239" s="66">
        <v>1</v>
      </c>
      <c r="U239" s="10">
        <f>V234</f>
        <v>0</v>
      </c>
      <c r="V239" s="69">
        <f>ROUND(T239*U239,2)</f>
        <v>0</v>
      </c>
    </row>
    <row r="240" spans="1:22" ht="1.2" customHeight="1" x14ac:dyDescent="0.3">
      <c r="A240" s="70"/>
      <c r="B240" s="70"/>
      <c r="C240" s="70"/>
      <c r="D240" s="71"/>
      <c r="E240" s="72"/>
      <c r="F240" s="73"/>
      <c r="G240" s="73"/>
      <c r="H240" s="73"/>
      <c r="I240" s="73"/>
      <c r="J240" s="73"/>
      <c r="K240" s="73"/>
      <c r="L240" s="73"/>
      <c r="M240" s="74"/>
      <c r="N240" s="72"/>
      <c r="O240" s="73"/>
      <c r="P240" s="73"/>
      <c r="Q240" s="73"/>
      <c r="R240" s="73"/>
      <c r="S240" s="73"/>
      <c r="T240" s="73"/>
      <c r="U240" s="11"/>
      <c r="V240" s="74"/>
    </row>
    <row r="241" spans="1:22" x14ac:dyDescent="0.3">
      <c r="A241" s="61"/>
      <c r="B241" s="61"/>
      <c r="C241" s="61"/>
      <c r="D241" s="63"/>
      <c r="E241" s="57"/>
      <c r="F241" s="58"/>
      <c r="G241" s="58"/>
      <c r="H241" s="58"/>
      <c r="I241" s="58"/>
      <c r="J241" s="67" t="s">
        <v>238</v>
      </c>
      <c r="K241" s="66">
        <v>1</v>
      </c>
      <c r="L241" s="68">
        <f>M217+M225+M233</f>
        <v>18421.95</v>
      </c>
      <c r="M241" s="69">
        <f>ROUND(K241*L241,2)</f>
        <v>18421.95</v>
      </c>
      <c r="N241" s="57"/>
      <c r="O241" s="58"/>
      <c r="P241" s="58"/>
      <c r="Q241" s="58"/>
      <c r="R241" s="58"/>
      <c r="S241" s="67" t="s">
        <v>238</v>
      </c>
      <c r="T241" s="66">
        <v>1</v>
      </c>
      <c r="U241" s="10">
        <f>V217+V225+V233</f>
        <v>0</v>
      </c>
      <c r="V241" s="69">
        <f>ROUND(T241*U241,2)</f>
        <v>0</v>
      </c>
    </row>
    <row r="242" spans="1:22" ht="1.2" customHeight="1" x14ac:dyDescent="0.3">
      <c r="A242" s="70"/>
      <c r="B242" s="70"/>
      <c r="C242" s="70"/>
      <c r="D242" s="71"/>
      <c r="E242" s="72"/>
      <c r="F242" s="73"/>
      <c r="G242" s="73"/>
      <c r="H242" s="73"/>
      <c r="I242" s="73"/>
      <c r="J242" s="73"/>
      <c r="K242" s="73"/>
      <c r="L242" s="73"/>
      <c r="M242" s="74"/>
      <c r="N242" s="72"/>
      <c r="O242" s="73"/>
      <c r="P242" s="73"/>
      <c r="Q242" s="73"/>
      <c r="R242" s="73"/>
      <c r="S242" s="73"/>
      <c r="T242" s="73"/>
      <c r="U242" s="11"/>
      <c r="V242" s="74"/>
    </row>
    <row r="243" spans="1:22" x14ac:dyDescent="0.3">
      <c r="A243" s="29" t="s">
        <v>239</v>
      </c>
      <c r="B243" s="29" t="s">
        <v>16</v>
      </c>
      <c r="C243" s="29" t="s">
        <v>17</v>
      </c>
      <c r="D243" s="30" t="s">
        <v>240</v>
      </c>
      <c r="E243" s="31"/>
      <c r="F243" s="32"/>
      <c r="G243" s="32"/>
      <c r="H243" s="32"/>
      <c r="I243" s="32"/>
      <c r="J243" s="32"/>
      <c r="K243" s="33">
        <f>K252</f>
        <v>1</v>
      </c>
      <c r="L243" s="33">
        <f>L252</f>
        <v>4890.54</v>
      </c>
      <c r="M243" s="34">
        <f>M252</f>
        <v>4890.54</v>
      </c>
      <c r="N243" s="31"/>
      <c r="O243" s="32"/>
      <c r="P243" s="32"/>
      <c r="Q243" s="32"/>
      <c r="R243" s="32"/>
      <c r="S243" s="32"/>
      <c r="T243" s="33">
        <f>T252</f>
        <v>1</v>
      </c>
      <c r="U243" s="2">
        <f>U252</f>
        <v>0</v>
      </c>
      <c r="V243" s="34">
        <f>V252</f>
        <v>0</v>
      </c>
    </row>
    <row r="244" spans="1:22" x14ac:dyDescent="0.3">
      <c r="A244" s="35" t="s">
        <v>241</v>
      </c>
      <c r="B244" s="35" t="s">
        <v>16</v>
      </c>
      <c r="C244" s="35" t="s">
        <v>17</v>
      </c>
      <c r="D244" s="36" t="s">
        <v>242</v>
      </c>
      <c r="E244" s="37"/>
      <c r="F244" s="38"/>
      <c r="G244" s="38"/>
      <c r="H244" s="38"/>
      <c r="I244" s="38"/>
      <c r="J244" s="38"/>
      <c r="K244" s="41">
        <f>K250</f>
        <v>1</v>
      </c>
      <c r="L244" s="41">
        <f>L250</f>
        <v>4890.54</v>
      </c>
      <c r="M244" s="40">
        <f>M250</f>
        <v>4890.54</v>
      </c>
      <c r="N244" s="37"/>
      <c r="O244" s="38"/>
      <c r="P244" s="38"/>
      <c r="Q244" s="38"/>
      <c r="R244" s="38"/>
      <c r="S244" s="38"/>
      <c r="T244" s="41">
        <f>T250</f>
        <v>1</v>
      </c>
      <c r="U244" s="4">
        <f>U250</f>
        <v>0</v>
      </c>
      <c r="V244" s="40">
        <f>V250</f>
        <v>0</v>
      </c>
    </row>
    <row r="245" spans="1:22" x14ac:dyDescent="0.3">
      <c r="A245" s="54" t="s">
        <v>243</v>
      </c>
      <c r="B245" s="55" t="s">
        <v>32</v>
      </c>
      <c r="C245" s="55" t="s">
        <v>185</v>
      </c>
      <c r="D245" s="56" t="s">
        <v>244</v>
      </c>
      <c r="E245" s="57"/>
      <c r="F245" s="58"/>
      <c r="G245" s="58"/>
      <c r="H245" s="58"/>
      <c r="I245" s="58"/>
      <c r="J245" s="58"/>
      <c r="K245" s="59">
        <f>K248</f>
        <v>2</v>
      </c>
      <c r="L245" s="59">
        <f>L248</f>
        <v>2445.27</v>
      </c>
      <c r="M245" s="60">
        <f>M248</f>
        <v>4890.54</v>
      </c>
      <c r="N245" s="57"/>
      <c r="O245" s="58"/>
      <c r="P245" s="58"/>
      <c r="Q245" s="58"/>
      <c r="R245" s="58"/>
      <c r="S245" s="58"/>
      <c r="T245" s="59">
        <f>T248</f>
        <v>2</v>
      </c>
      <c r="U245" s="8">
        <f>U248</f>
        <v>0</v>
      </c>
      <c r="V245" s="60">
        <f>V248</f>
        <v>0</v>
      </c>
    </row>
    <row r="246" spans="1:22" ht="214.2" x14ac:dyDescent="0.3">
      <c r="A246" s="61"/>
      <c r="B246" s="61"/>
      <c r="C246" s="61"/>
      <c r="D246" s="56" t="s">
        <v>245</v>
      </c>
      <c r="E246" s="57"/>
      <c r="F246" s="58"/>
      <c r="G246" s="58"/>
      <c r="H246" s="58"/>
      <c r="I246" s="58"/>
      <c r="J246" s="58"/>
      <c r="K246" s="58"/>
      <c r="L246" s="58"/>
      <c r="M246" s="62"/>
      <c r="N246" s="57"/>
      <c r="O246" s="58"/>
      <c r="P246" s="58"/>
      <c r="Q246" s="58"/>
      <c r="R246" s="58"/>
      <c r="S246" s="58"/>
      <c r="T246" s="58"/>
      <c r="U246" s="7"/>
      <c r="V246" s="62"/>
    </row>
    <row r="247" spans="1:22" x14ac:dyDescent="0.3">
      <c r="A247" s="61"/>
      <c r="B247" s="61"/>
      <c r="C247" s="61"/>
      <c r="D247" s="63"/>
      <c r="E247" s="64" t="s">
        <v>17</v>
      </c>
      <c r="F247" s="65">
        <v>2</v>
      </c>
      <c r="G247" s="66">
        <v>0</v>
      </c>
      <c r="H247" s="66">
        <v>0</v>
      </c>
      <c r="I247" s="66">
        <v>0</v>
      </c>
      <c r="J247" s="59">
        <f>OR(F247&lt;&gt;0,G247&lt;&gt;0,H247&lt;&gt;0,I247&lt;&gt;0)*(F247 + (F247 = 0))*(G247 + (G247 = 0))*(H247 + (H247 = 0))*(I247 + (I247 = 0))</f>
        <v>2</v>
      </c>
      <c r="K247" s="58"/>
      <c r="L247" s="58"/>
      <c r="M247" s="62"/>
      <c r="N247" s="64" t="s">
        <v>17</v>
      </c>
      <c r="O247" s="65">
        <v>2</v>
      </c>
      <c r="P247" s="66">
        <v>0</v>
      </c>
      <c r="Q247" s="66">
        <v>0</v>
      </c>
      <c r="R247" s="66">
        <v>0</v>
      </c>
      <c r="S247" s="59">
        <f>OR(O247&lt;&gt;0,P247&lt;&gt;0,Q247&lt;&gt;0,R247&lt;&gt;0)*(O247 + (O247 = 0))*(P247 + (P247 = 0))*(Q247 + (Q247 = 0))*(R247 + (R247 = 0))</f>
        <v>2</v>
      </c>
      <c r="T247" s="58"/>
      <c r="U247" s="7"/>
      <c r="V247" s="62"/>
    </row>
    <row r="248" spans="1:22" x14ac:dyDescent="0.3">
      <c r="A248" s="61"/>
      <c r="B248" s="61"/>
      <c r="C248" s="61"/>
      <c r="D248" s="63"/>
      <c r="E248" s="57"/>
      <c r="F248" s="58"/>
      <c r="G248" s="58"/>
      <c r="H248" s="58"/>
      <c r="I248" s="58"/>
      <c r="J248" s="67" t="s">
        <v>246</v>
      </c>
      <c r="K248" s="68">
        <f>J247*1</f>
        <v>2</v>
      </c>
      <c r="L248" s="66">
        <f>2306.86*1.06</f>
        <v>2445.27</v>
      </c>
      <c r="M248" s="69">
        <f>ROUND(K248*L248,2)</f>
        <v>4890.54</v>
      </c>
      <c r="N248" s="57"/>
      <c r="O248" s="58"/>
      <c r="P248" s="58"/>
      <c r="Q248" s="58"/>
      <c r="R248" s="58"/>
      <c r="S248" s="67" t="s">
        <v>246</v>
      </c>
      <c r="T248" s="68">
        <f>S247*1</f>
        <v>2</v>
      </c>
      <c r="U248" s="9">
        <v>0</v>
      </c>
      <c r="V248" s="69">
        <f>ROUND(T248*U248,2)</f>
        <v>0</v>
      </c>
    </row>
    <row r="249" spans="1:22" ht="1.2" customHeight="1" x14ac:dyDescent="0.3">
      <c r="A249" s="70"/>
      <c r="B249" s="70"/>
      <c r="C249" s="70"/>
      <c r="D249" s="71"/>
      <c r="E249" s="72"/>
      <c r="F249" s="73"/>
      <c r="G249" s="73"/>
      <c r="H249" s="73"/>
      <c r="I249" s="73"/>
      <c r="J249" s="73"/>
      <c r="K249" s="73"/>
      <c r="L249" s="73"/>
      <c r="M249" s="74"/>
      <c r="N249" s="72"/>
      <c r="O249" s="73"/>
      <c r="P249" s="73"/>
      <c r="Q249" s="73"/>
      <c r="R249" s="73"/>
      <c r="S249" s="73"/>
      <c r="T249" s="73"/>
      <c r="U249" s="11"/>
      <c r="V249" s="74"/>
    </row>
    <row r="250" spans="1:22" x14ac:dyDescent="0.3">
      <c r="A250" s="61"/>
      <c r="B250" s="61"/>
      <c r="C250" s="61"/>
      <c r="D250" s="63"/>
      <c r="E250" s="57"/>
      <c r="F250" s="58"/>
      <c r="G250" s="58"/>
      <c r="H250" s="58"/>
      <c r="I250" s="58"/>
      <c r="J250" s="67" t="s">
        <v>247</v>
      </c>
      <c r="K250" s="66">
        <v>1</v>
      </c>
      <c r="L250" s="68">
        <f>M245</f>
        <v>4890.54</v>
      </c>
      <c r="M250" s="69">
        <f>ROUND(K250*L250,2)</f>
        <v>4890.54</v>
      </c>
      <c r="N250" s="57"/>
      <c r="O250" s="58"/>
      <c r="P250" s="58"/>
      <c r="Q250" s="58"/>
      <c r="R250" s="58"/>
      <c r="S250" s="67" t="s">
        <v>247</v>
      </c>
      <c r="T250" s="66">
        <v>1</v>
      </c>
      <c r="U250" s="10">
        <f>V245</f>
        <v>0</v>
      </c>
      <c r="V250" s="69">
        <f>ROUND(T250*U250,2)</f>
        <v>0</v>
      </c>
    </row>
    <row r="251" spans="1:22" ht="1.2" customHeight="1" x14ac:dyDescent="0.3">
      <c r="A251" s="70"/>
      <c r="B251" s="70"/>
      <c r="C251" s="70"/>
      <c r="D251" s="71"/>
      <c r="E251" s="72"/>
      <c r="F251" s="73"/>
      <c r="G251" s="73"/>
      <c r="H251" s="73"/>
      <c r="I251" s="73"/>
      <c r="J251" s="73"/>
      <c r="K251" s="73"/>
      <c r="L251" s="73"/>
      <c r="M251" s="74"/>
      <c r="N251" s="72"/>
      <c r="O251" s="73"/>
      <c r="P251" s="73"/>
      <c r="Q251" s="73"/>
      <c r="R251" s="73"/>
      <c r="S251" s="73"/>
      <c r="T251" s="73"/>
      <c r="U251" s="11"/>
      <c r="V251" s="74"/>
    </row>
    <row r="252" spans="1:22" x14ac:dyDescent="0.3">
      <c r="A252" s="61"/>
      <c r="B252" s="61"/>
      <c r="C252" s="61"/>
      <c r="D252" s="63"/>
      <c r="E252" s="57"/>
      <c r="F252" s="58"/>
      <c r="G252" s="58"/>
      <c r="H252" s="58"/>
      <c r="I252" s="58"/>
      <c r="J252" s="67" t="s">
        <v>248</v>
      </c>
      <c r="K252" s="66">
        <v>1</v>
      </c>
      <c r="L252" s="68">
        <f>M244</f>
        <v>4890.54</v>
      </c>
      <c r="M252" s="69">
        <f>ROUND(K252*L252,2)</f>
        <v>4890.54</v>
      </c>
      <c r="N252" s="57"/>
      <c r="O252" s="58"/>
      <c r="P252" s="58"/>
      <c r="Q252" s="58"/>
      <c r="R252" s="58"/>
      <c r="S252" s="67" t="s">
        <v>248</v>
      </c>
      <c r="T252" s="66">
        <v>1</v>
      </c>
      <c r="U252" s="10">
        <f>V244</f>
        <v>0</v>
      </c>
      <c r="V252" s="69">
        <f>ROUND(T252*U252,2)</f>
        <v>0</v>
      </c>
    </row>
    <row r="253" spans="1:22" ht="1.2" customHeight="1" x14ac:dyDescent="0.3">
      <c r="A253" s="70"/>
      <c r="B253" s="70"/>
      <c r="C253" s="70"/>
      <c r="D253" s="71"/>
      <c r="E253" s="72"/>
      <c r="F253" s="73"/>
      <c r="G253" s="73"/>
      <c r="H253" s="73"/>
      <c r="I253" s="73"/>
      <c r="J253" s="73"/>
      <c r="K253" s="73"/>
      <c r="L253" s="73"/>
      <c r="M253" s="74"/>
      <c r="N253" s="72"/>
      <c r="O253" s="73"/>
      <c r="P253" s="73"/>
      <c r="Q253" s="73"/>
      <c r="R253" s="73"/>
      <c r="S253" s="73"/>
      <c r="T253" s="73"/>
      <c r="U253" s="11"/>
      <c r="V253" s="74"/>
    </row>
    <row r="254" spans="1:22" x14ac:dyDescent="0.3">
      <c r="A254" s="61"/>
      <c r="B254" s="61"/>
      <c r="C254" s="61"/>
      <c r="D254" s="63"/>
      <c r="E254" s="57"/>
      <c r="F254" s="58"/>
      <c r="G254" s="58"/>
      <c r="H254" s="58"/>
      <c r="I254" s="58"/>
      <c r="J254" s="67" t="s">
        <v>249</v>
      </c>
      <c r="K254" s="81">
        <v>1</v>
      </c>
      <c r="L254" s="68">
        <f>M205+M216+M243</f>
        <v>29582.85</v>
      </c>
      <c r="M254" s="69">
        <f>ROUND(K254*L254,2)</f>
        <v>29582.85</v>
      </c>
      <c r="N254" s="57"/>
      <c r="O254" s="58"/>
      <c r="P254" s="58"/>
      <c r="Q254" s="58"/>
      <c r="R254" s="58"/>
      <c r="S254" s="67" t="s">
        <v>249</v>
      </c>
      <c r="T254" s="81">
        <v>1</v>
      </c>
      <c r="U254" s="10">
        <f>V205+V216+V243</f>
        <v>0</v>
      </c>
      <c r="V254" s="69">
        <f>ROUND(T254*U254,2)</f>
        <v>0</v>
      </c>
    </row>
    <row r="255" spans="1:22" ht="1.2" customHeight="1" x14ac:dyDescent="0.3">
      <c r="A255" s="70"/>
      <c r="B255" s="70"/>
      <c r="C255" s="70"/>
      <c r="D255" s="71"/>
      <c r="E255" s="72"/>
      <c r="F255" s="73"/>
      <c r="G255" s="73"/>
      <c r="H255" s="73"/>
      <c r="I255" s="73"/>
      <c r="J255" s="73"/>
      <c r="K255" s="73"/>
      <c r="L255" s="73"/>
      <c r="M255" s="74"/>
      <c r="N255" s="72"/>
      <c r="O255" s="73"/>
      <c r="P255" s="73"/>
      <c r="Q255" s="73"/>
      <c r="R255" s="73"/>
      <c r="S255" s="73"/>
      <c r="T255" s="73"/>
      <c r="U255" s="11"/>
      <c r="V255" s="74"/>
    </row>
    <row r="256" spans="1:22" x14ac:dyDescent="0.3">
      <c r="A256" s="22" t="s">
        <v>250</v>
      </c>
      <c r="B256" s="22" t="s">
        <v>16</v>
      </c>
      <c r="C256" s="22" t="s">
        <v>17</v>
      </c>
      <c r="D256" s="23" t="s">
        <v>251</v>
      </c>
      <c r="E256" s="24"/>
      <c r="F256" s="25"/>
      <c r="G256" s="25"/>
      <c r="H256" s="25"/>
      <c r="I256" s="25"/>
      <c r="J256" s="25"/>
      <c r="K256" s="26">
        <f>K451</f>
        <v>1</v>
      </c>
      <c r="L256" s="27">
        <f>L451</f>
        <v>17599.57</v>
      </c>
      <c r="M256" s="28">
        <f>M451</f>
        <v>17599.57</v>
      </c>
      <c r="N256" s="24"/>
      <c r="O256" s="25"/>
      <c r="P256" s="25"/>
      <c r="Q256" s="25"/>
      <c r="R256" s="25"/>
      <c r="S256" s="25"/>
      <c r="T256" s="26">
        <f>T451</f>
        <v>1</v>
      </c>
      <c r="U256" s="1">
        <f>U451</f>
        <v>0</v>
      </c>
      <c r="V256" s="28">
        <f>V451</f>
        <v>0</v>
      </c>
    </row>
    <row r="257" spans="1:22" x14ac:dyDescent="0.3">
      <c r="A257" s="29" t="s">
        <v>252</v>
      </c>
      <c r="B257" s="29" t="s">
        <v>16</v>
      </c>
      <c r="C257" s="29" t="s">
        <v>17</v>
      </c>
      <c r="D257" s="30" t="s">
        <v>253</v>
      </c>
      <c r="E257" s="31"/>
      <c r="F257" s="32"/>
      <c r="G257" s="32"/>
      <c r="H257" s="32"/>
      <c r="I257" s="32"/>
      <c r="J257" s="32"/>
      <c r="K257" s="33">
        <f>K304</f>
        <v>1</v>
      </c>
      <c r="L257" s="33">
        <f>L304</f>
        <v>3917.9</v>
      </c>
      <c r="M257" s="34">
        <f>M304</f>
        <v>3917.9</v>
      </c>
      <c r="N257" s="31"/>
      <c r="O257" s="32"/>
      <c r="P257" s="32"/>
      <c r="Q257" s="32"/>
      <c r="R257" s="32"/>
      <c r="S257" s="32"/>
      <c r="T257" s="33">
        <f>T304</f>
        <v>1</v>
      </c>
      <c r="U257" s="2">
        <f>U304</f>
        <v>0</v>
      </c>
      <c r="V257" s="34">
        <f>V304</f>
        <v>0</v>
      </c>
    </row>
    <row r="258" spans="1:22" x14ac:dyDescent="0.3">
      <c r="A258" s="35" t="s">
        <v>254</v>
      </c>
      <c r="B258" s="35" t="s">
        <v>16</v>
      </c>
      <c r="C258" s="35" t="s">
        <v>17</v>
      </c>
      <c r="D258" s="36" t="s">
        <v>255</v>
      </c>
      <c r="E258" s="37"/>
      <c r="F258" s="38"/>
      <c r="G258" s="38"/>
      <c r="H258" s="38"/>
      <c r="I258" s="38"/>
      <c r="J258" s="38"/>
      <c r="K258" s="41">
        <f>K279</f>
        <v>1</v>
      </c>
      <c r="L258" s="41">
        <f>L279</f>
        <v>1625.6</v>
      </c>
      <c r="M258" s="40">
        <f>M279</f>
        <v>1625.6</v>
      </c>
      <c r="N258" s="37"/>
      <c r="O258" s="38"/>
      <c r="P258" s="38"/>
      <c r="Q258" s="38"/>
      <c r="R258" s="38"/>
      <c r="S258" s="38"/>
      <c r="T258" s="41">
        <f>T279</f>
        <v>1</v>
      </c>
      <c r="U258" s="4">
        <f>U279</f>
        <v>0</v>
      </c>
      <c r="V258" s="40">
        <f>V279</f>
        <v>0</v>
      </c>
    </row>
    <row r="259" spans="1:22" x14ac:dyDescent="0.3">
      <c r="A259" s="54" t="s">
        <v>256</v>
      </c>
      <c r="B259" s="55" t="s">
        <v>32</v>
      </c>
      <c r="C259" s="55" t="s">
        <v>185</v>
      </c>
      <c r="D259" s="56" t="s">
        <v>257</v>
      </c>
      <c r="E259" s="57"/>
      <c r="F259" s="58"/>
      <c r="G259" s="58"/>
      <c r="H259" s="58"/>
      <c r="I259" s="58"/>
      <c r="J259" s="58"/>
      <c r="K259" s="59">
        <f>K262</f>
        <v>40</v>
      </c>
      <c r="L259" s="59">
        <f>L262</f>
        <v>15.68</v>
      </c>
      <c r="M259" s="60">
        <f>M262</f>
        <v>627.20000000000005</v>
      </c>
      <c r="N259" s="57"/>
      <c r="O259" s="58"/>
      <c r="P259" s="58"/>
      <c r="Q259" s="58"/>
      <c r="R259" s="58"/>
      <c r="S259" s="58"/>
      <c r="T259" s="59">
        <f>T262</f>
        <v>40</v>
      </c>
      <c r="U259" s="8">
        <f>U262</f>
        <v>0</v>
      </c>
      <c r="V259" s="60">
        <f>V262</f>
        <v>0</v>
      </c>
    </row>
    <row r="260" spans="1:22" ht="71.400000000000006" x14ac:dyDescent="0.3">
      <c r="A260" s="61"/>
      <c r="B260" s="61"/>
      <c r="C260" s="61"/>
      <c r="D260" s="56" t="s">
        <v>258</v>
      </c>
      <c r="E260" s="57"/>
      <c r="F260" s="58"/>
      <c r="G260" s="58"/>
      <c r="H260" s="58"/>
      <c r="I260" s="58"/>
      <c r="J260" s="58"/>
      <c r="K260" s="58"/>
      <c r="L260" s="58"/>
      <c r="M260" s="62"/>
      <c r="N260" s="57"/>
      <c r="O260" s="58"/>
      <c r="P260" s="58"/>
      <c r="Q260" s="58"/>
      <c r="R260" s="58"/>
      <c r="S260" s="58"/>
      <c r="T260" s="58"/>
      <c r="U260" s="7"/>
      <c r="V260" s="62"/>
    </row>
    <row r="261" spans="1:22" x14ac:dyDescent="0.3">
      <c r="A261" s="61"/>
      <c r="B261" s="61"/>
      <c r="C261" s="61"/>
      <c r="D261" s="63"/>
      <c r="E261" s="64" t="s">
        <v>17</v>
      </c>
      <c r="F261" s="65">
        <v>40</v>
      </c>
      <c r="G261" s="66">
        <v>0</v>
      </c>
      <c r="H261" s="66">
        <v>0</v>
      </c>
      <c r="I261" s="66">
        <v>0</v>
      </c>
      <c r="J261" s="59">
        <f>OR(F261&lt;&gt;0,G261&lt;&gt;0,H261&lt;&gt;0,I261&lt;&gt;0)*(F261 + (F261 = 0))*(G261 + (G261 = 0))*(H261 + (H261 = 0))*(I261 + (I261 = 0))</f>
        <v>40</v>
      </c>
      <c r="K261" s="58"/>
      <c r="L261" s="58"/>
      <c r="M261" s="62"/>
      <c r="N261" s="64" t="s">
        <v>17</v>
      </c>
      <c r="O261" s="65">
        <v>40</v>
      </c>
      <c r="P261" s="66">
        <v>0</v>
      </c>
      <c r="Q261" s="66">
        <v>0</v>
      </c>
      <c r="R261" s="66">
        <v>0</v>
      </c>
      <c r="S261" s="59">
        <f>OR(O261&lt;&gt;0,P261&lt;&gt;0,Q261&lt;&gt;0,R261&lt;&gt;0)*(O261 + (O261 = 0))*(P261 + (P261 = 0))*(Q261 + (Q261 = 0))*(R261 + (R261 = 0))</f>
        <v>40</v>
      </c>
      <c r="T261" s="58"/>
      <c r="U261" s="7"/>
      <c r="V261" s="62"/>
    </row>
    <row r="262" spans="1:22" x14ac:dyDescent="0.3">
      <c r="A262" s="61"/>
      <c r="B262" s="61"/>
      <c r="C262" s="61"/>
      <c r="D262" s="63"/>
      <c r="E262" s="57"/>
      <c r="F262" s="58"/>
      <c r="G262" s="58"/>
      <c r="H262" s="58"/>
      <c r="I262" s="58"/>
      <c r="J262" s="67" t="s">
        <v>259</v>
      </c>
      <c r="K262" s="68">
        <f>J261*1</f>
        <v>40</v>
      </c>
      <c r="L262" s="66">
        <f>14.79*1.06</f>
        <v>15.68</v>
      </c>
      <c r="M262" s="69">
        <f>ROUND(K262*L262,2)</f>
        <v>627.20000000000005</v>
      </c>
      <c r="N262" s="57"/>
      <c r="O262" s="58"/>
      <c r="P262" s="58"/>
      <c r="Q262" s="58"/>
      <c r="R262" s="58"/>
      <c r="S262" s="67" t="s">
        <v>259</v>
      </c>
      <c r="T262" s="68">
        <f>S261*1</f>
        <v>40</v>
      </c>
      <c r="U262" s="9">
        <v>0</v>
      </c>
      <c r="V262" s="69">
        <f>ROUND(T262*U262,2)</f>
        <v>0</v>
      </c>
    </row>
    <row r="263" spans="1:22" ht="1.2" customHeight="1" x14ac:dyDescent="0.3">
      <c r="A263" s="70"/>
      <c r="B263" s="70"/>
      <c r="C263" s="70"/>
      <c r="D263" s="71"/>
      <c r="E263" s="72"/>
      <c r="F263" s="73"/>
      <c r="G263" s="73"/>
      <c r="H263" s="73"/>
      <c r="I263" s="73"/>
      <c r="J263" s="73"/>
      <c r="K263" s="73"/>
      <c r="L263" s="73"/>
      <c r="M263" s="74"/>
      <c r="N263" s="72"/>
      <c r="O263" s="73"/>
      <c r="P263" s="73"/>
      <c r="Q263" s="73"/>
      <c r="R263" s="73"/>
      <c r="S263" s="73"/>
      <c r="T263" s="73"/>
      <c r="U263" s="11"/>
      <c r="V263" s="74"/>
    </row>
    <row r="264" spans="1:22" x14ac:dyDescent="0.3">
      <c r="A264" s="54" t="s">
        <v>260</v>
      </c>
      <c r="B264" s="55" t="s">
        <v>32</v>
      </c>
      <c r="C264" s="55" t="s">
        <v>185</v>
      </c>
      <c r="D264" s="56" t="s">
        <v>261</v>
      </c>
      <c r="E264" s="57"/>
      <c r="F264" s="58"/>
      <c r="G264" s="58"/>
      <c r="H264" s="58"/>
      <c r="I264" s="58"/>
      <c r="J264" s="58"/>
      <c r="K264" s="59">
        <f>K267</f>
        <v>40</v>
      </c>
      <c r="L264" s="59">
        <f>L267</f>
        <v>4.83</v>
      </c>
      <c r="M264" s="60">
        <f>M267</f>
        <v>193.2</v>
      </c>
      <c r="N264" s="57"/>
      <c r="O264" s="58"/>
      <c r="P264" s="58"/>
      <c r="Q264" s="58"/>
      <c r="R264" s="58"/>
      <c r="S264" s="58"/>
      <c r="T264" s="59">
        <f>T267</f>
        <v>40</v>
      </c>
      <c r="U264" s="8">
        <f>U267</f>
        <v>0</v>
      </c>
      <c r="V264" s="60">
        <f>V267</f>
        <v>0</v>
      </c>
    </row>
    <row r="265" spans="1:22" ht="20.399999999999999" x14ac:dyDescent="0.3">
      <c r="A265" s="61"/>
      <c r="B265" s="61"/>
      <c r="C265" s="61"/>
      <c r="D265" s="56" t="s">
        <v>262</v>
      </c>
      <c r="E265" s="57"/>
      <c r="F265" s="58"/>
      <c r="G265" s="58"/>
      <c r="H265" s="58"/>
      <c r="I265" s="58"/>
      <c r="J265" s="58"/>
      <c r="K265" s="58"/>
      <c r="L265" s="58"/>
      <c r="M265" s="62"/>
      <c r="N265" s="57"/>
      <c r="O265" s="58"/>
      <c r="P265" s="58"/>
      <c r="Q265" s="58"/>
      <c r="R265" s="58"/>
      <c r="S265" s="58"/>
      <c r="T265" s="58"/>
      <c r="U265" s="7"/>
      <c r="V265" s="62"/>
    </row>
    <row r="266" spans="1:22" x14ac:dyDescent="0.3">
      <c r="A266" s="61"/>
      <c r="B266" s="61"/>
      <c r="C266" s="61"/>
      <c r="D266" s="63"/>
      <c r="E266" s="64" t="s">
        <v>17</v>
      </c>
      <c r="F266" s="65">
        <v>40</v>
      </c>
      <c r="G266" s="66">
        <v>0</v>
      </c>
      <c r="H266" s="66">
        <v>0</v>
      </c>
      <c r="I266" s="66">
        <v>0</v>
      </c>
      <c r="J266" s="59">
        <f>OR(F266&lt;&gt;0,G266&lt;&gt;0,H266&lt;&gt;0,I266&lt;&gt;0)*(F266 + (F266 = 0))*(G266 + (G266 = 0))*(H266 + (H266 = 0))*(I266 + (I266 = 0))</f>
        <v>40</v>
      </c>
      <c r="K266" s="58"/>
      <c r="L266" s="58"/>
      <c r="M266" s="62"/>
      <c r="N266" s="64" t="s">
        <v>17</v>
      </c>
      <c r="O266" s="65">
        <v>40</v>
      </c>
      <c r="P266" s="66">
        <v>0</v>
      </c>
      <c r="Q266" s="66">
        <v>0</v>
      </c>
      <c r="R266" s="66">
        <v>0</v>
      </c>
      <c r="S266" s="59">
        <f>OR(O266&lt;&gt;0,P266&lt;&gt;0,Q266&lt;&gt;0,R266&lt;&gt;0)*(O266 + (O266 = 0))*(P266 + (P266 = 0))*(Q266 + (Q266 = 0))*(R266 + (R266 = 0))</f>
        <v>40</v>
      </c>
      <c r="T266" s="58"/>
      <c r="U266" s="7"/>
      <c r="V266" s="62"/>
    </row>
    <row r="267" spans="1:22" x14ac:dyDescent="0.3">
      <c r="A267" s="61"/>
      <c r="B267" s="61"/>
      <c r="C267" s="61"/>
      <c r="D267" s="63"/>
      <c r="E267" s="57"/>
      <c r="F267" s="58"/>
      <c r="G267" s="58"/>
      <c r="H267" s="58"/>
      <c r="I267" s="58"/>
      <c r="J267" s="67" t="s">
        <v>263</v>
      </c>
      <c r="K267" s="68">
        <f>J266*1</f>
        <v>40</v>
      </c>
      <c r="L267" s="66">
        <f>4.56*1.06</f>
        <v>4.83</v>
      </c>
      <c r="M267" s="69">
        <f>ROUND(K267*L267,2)</f>
        <v>193.2</v>
      </c>
      <c r="N267" s="57"/>
      <c r="O267" s="58"/>
      <c r="P267" s="58"/>
      <c r="Q267" s="58"/>
      <c r="R267" s="58"/>
      <c r="S267" s="67" t="s">
        <v>263</v>
      </c>
      <c r="T267" s="68">
        <f>S266*1</f>
        <v>40</v>
      </c>
      <c r="U267" s="9">
        <v>0</v>
      </c>
      <c r="V267" s="69">
        <f>ROUND(T267*U267,2)</f>
        <v>0</v>
      </c>
    </row>
    <row r="268" spans="1:22" ht="1.2" customHeight="1" x14ac:dyDescent="0.3">
      <c r="A268" s="70"/>
      <c r="B268" s="70"/>
      <c r="C268" s="70"/>
      <c r="D268" s="71"/>
      <c r="E268" s="72"/>
      <c r="F268" s="73"/>
      <c r="G268" s="73"/>
      <c r="H268" s="73"/>
      <c r="I268" s="73"/>
      <c r="J268" s="73"/>
      <c r="K268" s="73"/>
      <c r="L268" s="73"/>
      <c r="M268" s="74"/>
      <c r="N268" s="72"/>
      <c r="O268" s="73"/>
      <c r="P268" s="73"/>
      <c r="Q268" s="73"/>
      <c r="R268" s="73"/>
      <c r="S268" s="73"/>
      <c r="T268" s="73"/>
      <c r="U268" s="11"/>
      <c r="V268" s="74"/>
    </row>
    <row r="269" spans="1:22" x14ac:dyDescent="0.3">
      <c r="A269" s="54" t="s">
        <v>264</v>
      </c>
      <c r="B269" s="55" t="s">
        <v>32</v>
      </c>
      <c r="C269" s="55" t="s">
        <v>185</v>
      </c>
      <c r="D269" s="56" t="s">
        <v>265</v>
      </c>
      <c r="E269" s="57"/>
      <c r="F269" s="58"/>
      <c r="G269" s="58"/>
      <c r="H269" s="58"/>
      <c r="I269" s="58"/>
      <c r="J269" s="58"/>
      <c r="K269" s="59">
        <f>K272</f>
        <v>40</v>
      </c>
      <c r="L269" s="59">
        <f>L272</f>
        <v>10.75</v>
      </c>
      <c r="M269" s="60">
        <f>M272</f>
        <v>430</v>
      </c>
      <c r="N269" s="57"/>
      <c r="O269" s="58"/>
      <c r="P269" s="58"/>
      <c r="Q269" s="58"/>
      <c r="R269" s="58"/>
      <c r="S269" s="58"/>
      <c r="T269" s="59">
        <f>T272</f>
        <v>40</v>
      </c>
      <c r="U269" s="8">
        <f>U272</f>
        <v>0</v>
      </c>
      <c r="V269" s="60">
        <f>V272</f>
        <v>0</v>
      </c>
    </row>
    <row r="270" spans="1:22" ht="51" x14ac:dyDescent="0.3">
      <c r="A270" s="61"/>
      <c r="B270" s="61"/>
      <c r="C270" s="61"/>
      <c r="D270" s="56" t="s">
        <v>266</v>
      </c>
      <c r="E270" s="57"/>
      <c r="F270" s="58"/>
      <c r="G270" s="58"/>
      <c r="H270" s="58"/>
      <c r="I270" s="58"/>
      <c r="J270" s="58"/>
      <c r="K270" s="58"/>
      <c r="L270" s="58"/>
      <c r="M270" s="62"/>
      <c r="N270" s="57"/>
      <c r="O270" s="58"/>
      <c r="P270" s="58"/>
      <c r="Q270" s="58"/>
      <c r="R270" s="58"/>
      <c r="S270" s="58"/>
      <c r="T270" s="58"/>
      <c r="U270" s="7"/>
      <c r="V270" s="62"/>
    </row>
    <row r="271" spans="1:22" x14ac:dyDescent="0.3">
      <c r="A271" s="61"/>
      <c r="B271" s="61"/>
      <c r="C271" s="61"/>
      <c r="D271" s="63"/>
      <c r="E271" s="64" t="s">
        <v>17</v>
      </c>
      <c r="F271" s="65">
        <v>40</v>
      </c>
      <c r="G271" s="66">
        <v>0</v>
      </c>
      <c r="H271" s="66">
        <v>0</v>
      </c>
      <c r="I271" s="66">
        <v>0</v>
      </c>
      <c r="J271" s="59">
        <f>OR(F271&lt;&gt;0,G271&lt;&gt;0,H271&lt;&gt;0,I271&lt;&gt;0)*(F271 + (F271 = 0))*(G271 + (G271 = 0))*(H271 + (H271 = 0))*(I271 + (I271 = 0))</f>
        <v>40</v>
      </c>
      <c r="K271" s="58"/>
      <c r="L271" s="58"/>
      <c r="M271" s="62"/>
      <c r="N271" s="64" t="s">
        <v>17</v>
      </c>
      <c r="O271" s="65">
        <v>40</v>
      </c>
      <c r="P271" s="66">
        <v>0</v>
      </c>
      <c r="Q271" s="66">
        <v>0</v>
      </c>
      <c r="R271" s="66">
        <v>0</v>
      </c>
      <c r="S271" s="59">
        <f>OR(O271&lt;&gt;0,P271&lt;&gt;0,Q271&lt;&gt;0,R271&lt;&gt;0)*(O271 + (O271 = 0))*(P271 + (P271 = 0))*(Q271 + (Q271 = 0))*(R271 + (R271 = 0))</f>
        <v>40</v>
      </c>
      <c r="T271" s="58"/>
      <c r="U271" s="7"/>
      <c r="V271" s="62"/>
    </row>
    <row r="272" spans="1:22" x14ac:dyDescent="0.3">
      <c r="A272" s="61"/>
      <c r="B272" s="61"/>
      <c r="C272" s="61"/>
      <c r="D272" s="63"/>
      <c r="E272" s="57"/>
      <c r="F272" s="58"/>
      <c r="G272" s="58"/>
      <c r="H272" s="58"/>
      <c r="I272" s="58"/>
      <c r="J272" s="67" t="s">
        <v>267</v>
      </c>
      <c r="K272" s="68">
        <f>J271*1</f>
        <v>40</v>
      </c>
      <c r="L272" s="66">
        <f>10.14*1.06</f>
        <v>10.75</v>
      </c>
      <c r="M272" s="69">
        <f>ROUND(K272*L272,2)</f>
        <v>430</v>
      </c>
      <c r="N272" s="57"/>
      <c r="O272" s="58"/>
      <c r="P272" s="58"/>
      <c r="Q272" s="58"/>
      <c r="R272" s="58"/>
      <c r="S272" s="67" t="s">
        <v>267</v>
      </c>
      <c r="T272" s="68">
        <f>S271*1</f>
        <v>40</v>
      </c>
      <c r="U272" s="9">
        <v>0</v>
      </c>
      <c r="V272" s="69">
        <f>ROUND(T272*U272,2)</f>
        <v>0</v>
      </c>
    </row>
    <row r="273" spans="1:22" ht="1.2" customHeight="1" x14ac:dyDescent="0.3">
      <c r="A273" s="70"/>
      <c r="B273" s="70"/>
      <c r="C273" s="70"/>
      <c r="D273" s="71"/>
      <c r="E273" s="72"/>
      <c r="F273" s="73"/>
      <c r="G273" s="73"/>
      <c r="H273" s="73"/>
      <c r="I273" s="73"/>
      <c r="J273" s="73"/>
      <c r="K273" s="73"/>
      <c r="L273" s="73"/>
      <c r="M273" s="74"/>
      <c r="N273" s="72"/>
      <c r="O273" s="73"/>
      <c r="P273" s="73"/>
      <c r="Q273" s="73"/>
      <c r="R273" s="73"/>
      <c r="S273" s="73"/>
      <c r="T273" s="73"/>
      <c r="U273" s="11"/>
      <c r="V273" s="74"/>
    </row>
    <row r="274" spans="1:22" x14ac:dyDescent="0.3">
      <c r="A274" s="54" t="s">
        <v>268</v>
      </c>
      <c r="B274" s="55" t="s">
        <v>32</v>
      </c>
      <c r="C274" s="55" t="s">
        <v>185</v>
      </c>
      <c r="D274" s="56" t="s">
        <v>269</v>
      </c>
      <c r="E274" s="57"/>
      <c r="F274" s="58"/>
      <c r="G274" s="58"/>
      <c r="H274" s="58"/>
      <c r="I274" s="58"/>
      <c r="J274" s="58"/>
      <c r="K274" s="59">
        <f>K277</f>
        <v>40</v>
      </c>
      <c r="L274" s="59">
        <f>L277</f>
        <v>9.3800000000000008</v>
      </c>
      <c r="M274" s="60">
        <f>M277</f>
        <v>375.2</v>
      </c>
      <c r="N274" s="57"/>
      <c r="O274" s="58"/>
      <c r="P274" s="58"/>
      <c r="Q274" s="58"/>
      <c r="R274" s="58"/>
      <c r="S274" s="58"/>
      <c r="T274" s="59">
        <f>T277</f>
        <v>40</v>
      </c>
      <c r="U274" s="8">
        <f>U277</f>
        <v>0</v>
      </c>
      <c r="V274" s="60">
        <f>V277</f>
        <v>0</v>
      </c>
    </row>
    <row r="275" spans="1:22" ht="40.799999999999997" x14ac:dyDescent="0.3">
      <c r="A275" s="61"/>
      <c r="B275" s="61"/>
      <c r="C275" s="61"/>
      <c r="D275" s="56" t="s">
        <v>270</v>
      </c>
      <c r="E275" s="57"/>
      <c r="F275" s="58"/>
      <c r="G275" s="58"/>
      <c r="H275" s="58"/>
      <c r="I275" s="58"/>
      <c r="J275" s="58"/>
      <c r="K275" s="58"/>
      <c r="L275" s="58"/>
      <c r="M275" s="62"/>
      <c r="N275" s="57"/>
      <c r="O275" s="58"/>
      <c r="P275" s="58"/>
      <c r="Q275" s="58"/>
      <c r="R275" s="58"/>
      <c r="S275" s="58"/>
      <c r="T275" s="58"/>
      <c r="U275" s="7"/>
      <c r="V275" s="62"/>
    </row>
    <row r="276" spans="1:22" x14ac:dyDescent="0.3">
      <c r="A276" s="61"/>
      <c r="B276" s="61"/>
      <c r="C276" s="61"/>
      <c r="D276" s="63"/>
      <c r="E276" s="64" t="s">
        <v>17</v>
      </c>
      <c r="F276" s="65">
        <v>40</v>
      </c>
      <c r="G276" s="66">
        <v>0</v>
      </c>
      <c r="H276" s="66">
        <v>0</v>
      </c>
      <c r="I276" s="66">
        <v>0</v>
      </c>
      <c r="J276" s="59">
        <f>OR(F276&lt;&gt;0,G276&lt;&gt;0,H276&lt;&gt;0,I276&lt;&gt;0)*(F276 + (F276 = 0))*(G276 + (G276 = 0))*(H276 + (H276 = 0))*(I276 + (I276 = 0))</f>
        <v>40</v>
      </c>
      <c r="K276" s="58"/>
      <c r="L276" s="58"/>
      <c r="M276" s="62"/>
      <c r="N276" s="64" t="s">
        <v>17</v>
      </c>
      <c r="O276" s="65">
        <v>40</v>
      </c>
      <c r="P276" s="66">
        <v>0</v>
      </c>
      <c r="Q276" s="66">
        <v>0</v>
      </c>
      <c r="R276" s="66">
        <v>0</v>
      </c>
      <c r="S276" s="59">
        <f>OR(O276&lt;&gt;0,P276&lt;&gt;0,Q276&lt;&gt;0,R276&lt;&gt;0)*(O276 + (O276 = 0))*(P276 + (P276 = 0))*(Q276 + (Q276 = 0))*(R276 + (R276 = 0))</f>
        <v>40</v>
      </c>
      <c r="T276" s="58"/>
      <c r="U276" s="7"/>
      <c r="V276" s="62"/>
    </row>
    <row r="277" spans="1:22" x14ac:dyDescent="0.3">
      <c r="A277" s="61"/>
      <c r="B277" s="61"/>
      <c r="C277" s="61"/>
      <c r="D277" s="63"/>
      <c r="E277" s="57"/>
      <c r="F277" s="58"/>
      <c r="G277" s="58"/>
      <c r="H277" s="58"/>
      <c r="I277" s="58"/>
      <c r="J277" s="67" t="s">
        <v>271</v>
      </c>
      <c r="K277" s="68">
        <f>J276*1</f>
        <v>40</v>
      </c>
      <c r="L277" s="66">
        <f>8.85*1.06</f>
        <v>9.3800000000000008</v>
      </c>
      <c r="M277" s="69">
        <f>ROUND(K277*L277,2)</f>
        <v>375.2</v>
      </c>
      <c r="N277" s="57"/>
      <c r="O277" s="58"/>
      <c r="P277" s="58"/>
      <c r="Q277" s="58"/>
      <c r="R277" s="58"/>
      <c r="S277" s="67" t="s">
        <v>271</v>
      </c>
      <c r="T277" s="68">
        <f>S276*1</f>
        <v>40</v>
      </c>
      <c r="U277" s="9">
        <v>0</v>
      </c>
      <c r="V277" s="69">
        <f>ROUND(T277*U277,2)</f>
        <v>0</v>
      </c>
    </row>
    <row r="278" spans="1:22" ht="1.2" customHeight="1" x14ac:dyDescent="0.3">
      <c r="A278" s="70"/>
      <c r="B278" s="70"/>
      <c r="C278" s="70"/>
      <c r="D278" s="71"/>
      <c r="E278" s="72"/>
      <c r="F278" s="73"/>
      <c r="G278" s="73"/>
      <c r="H278" s="73"/>
      <c r="I278" s="73"/>
      <c r="J278" s="73"/>
      <c r="K278" s="73"/>
      <c r="L278" s="73"/>
      <c r="M278" s="74"/>
      <c r="N278" s="72"/>
      <c r="O278" s="73"/>
      <c r="P278" s="73"/>
      <c r="Q278" s="73"/>
      <c r="R278" s="73"/>
      <c r="S278" s="73"/>
      <c r="T278" s="73"/>
      <c r="U278" s="11"/>
      <c r="V278" s="74"/>
    </row>
    <row r="279" spans="1:22" x14ac:dyDescent="0.3">
      <c r="A279" s="61"/>
      <c r="B279" s="61"/>
      <c r="C279" s="61"/>
      <c r="D279" s="63"/>
      <c r="E279" s="57"/>
      <c r="F279" s="58"/>
      <c r="G279" s="58"/>
      <c r="H279" s="58"/>
      <c r="I279" s="58"/>
      <c r="J279" s="67" t="s">
        <v>272</v>
      </c>
      <c r="K279" s="66">
        <v>1</v>
      </c>
      <c r="L279" s="68">
        <f>M259+M264+M269+M274</f>
        <v>1625.6</v>
      </c>
      <c r="M279" s="69">
        <f>ROUND(K279*L279,2)</f>
        <v>1625.6</v>
      </c>
      <c r="N279" s="57"/>
      <c r="O279" s="58"/>
      <c r="P279" s="58"/>
      <c r="Q279" s="58"/>
      <c r="R279" s="58"/>
      <c r="S279" s="67" t="s">
        <v>272</v>
      </c>
      <c r="T279" s="66">
        <v>1</v>
      </c>
      <c r="U279" s="10">
        <f>V259+V264+V269+V274</f>
        <v>0</v>
      </c>
      <c r="V279" s="69">
        <f>ROUND(T279*U279,2)</f>
        <v>0</v>
      </c>
    </row>
    <row r="280" spans="1:22" ht="1.2" customHeight="1" x14ac:dyDescent="0.3">
      <c r="A280" s="70"/>
      <c r="B280" s="70"/>
      <c r="C280" s="70"/>
      <c r="D280" s="71"/>
      <c r="E280" s="72"/>
      <c r="F280" s="73"/>
      <c r="G280" s="73"/>
      <c r="H280" s="73"/>
      <c r="I280" s="73"/>
      <c r="J280" s="73"/>
      <c r="K280" s="73"/>
      <c r="L280" s="73"/>
      <c r="M280" s="74"/>
      <c r="N280" s="72"/>
      <c r="O280" s="73"/>
      <c r="P280" s="73"/>
      <c r="Q280" s="73"/>
      <c r="R280" s="73"/>
      <c r="S280" s="73"/>
      <c r="T280" s="73"/>
      <c r="U280" s="11"/>
      <c r="V280" s="74"/>
    </row>
    <row r="281" spans="1:22" x14ac:dyDescent="0.3">
      <c r="A281" s="35" t="s">
        <v>273</v>
      </c>
      <c r="B281" s="35" t="s">
        <v>16</v>
      </c>
      <c r="C281" s="35" t="s">
        <v>17</v>
      </c>
      <c r="D281" s="36" t="s">
        <v>274</v>
      </c>
      <c r="E281" s="37"/>
      <c r="F281" s="38"/>
      <c r="G281" s="38"/>
      <c r="H281" s="38"/>
      <c r="I281" s="38"/>
      <c r="J281" s="38"/>
      <c r="K281" s="41">
        <f>K287</f>
        <v>1</v>
      </c>
      <c r="L281" s="41">
        <f>L287</f>
        <v>92</v>
      </c>
      <c r="M281" s="40">
        <f>M287</f>
        <v>92</v>
      </c>
      <c r="N281" s="37"/>
      <c r="O281" s="38"/>
      <c r="P281" s="38"/>
      <c r="Q281" s="38"/>
      <c r="R281" s="38"/>
      <c r="S281" s="38"/>
      <c r="T281" s="41">
        <f>T287</f>
        <v>1</v>
      </c>
      <c r="U281" s="4">
        <f>U287</f>
        <v>0</v>
      </c>
      <c r="V281" s="40">
        <f>V287</f>
        <v>0</v>
      </c>
    </row>
    <row r="282" spans="1:22" x14ac:dyDescent="0.3">
      <c r="A282" s="54" t="s">
        <v>275</v>
      </c>
      <c r="B282" s="55" t="s">
        <v>32</v>
      </c>
      <c r="C282" s="55" t="s">
        <v>185</v>
      </c>
      <c r="D282" s="56" t="s">
        <v>276</v>
      </c>
      <c r="E282" s="57"/>
      <c r="F282" s="58"/>
      <c r="G282" s="58"/>
      <c r="H282" s="58"/>
      <c r="I282" s="58"/>
      <c r="J282" s="58"/>
      <c r="K282" s="59">
        <f>K285</f>
        <v>40</v>
      </c>
      <c r="L282" s="59">
        <f>L285</f>
        <v>2.2999999999999998</v>
      </c>
      <c r="M282" s="60">
        <f>M285</f>
        <v>92</v>
      </c>
      <c r="N282" s="57"/>
      <c r="O282" s="58"/>
      <c r="P282" s="58"/>
      <c r="Q282" s="58"/>
      <c r="R282" s="58"/>
      <c r="S282" s="58"/>
      <c r="T282" s="59">
        <f>T285</f>
        <v>40</v>
      </c>
      <c r="U282" s="8">
        <f>U285</f>
        <v>0</v>
      </c>
      <c r="V282" s="60">
        <f>V285</f>
        <v>0</v>
      </c>
    </row>
    <row r="283" spans="1:22" ht="61.2" x14ac:dyDescent="0.3">
      <c r="A283" s="61"/>
      <c r="B283" s="61"/>
      <c r="C283" s="61"/>
      <c r="D283" s="56" t="s">
        <v>277</v>
      </c>
      <c r="E283" s="57"/>
      <c r="F283" s="58"/>
      <c r="G283" s="58"/>
      <c r="H283" s="58"/>
      <c r="I283" s="58"/>
      <c r="J283" s="58"/>
      <c r="K283" s="58"/>
      <c r="L283" s="58"/>
      <c r="M283" s="62"/>
      <c r="N283" s="57"/>
      <c r="O283" s="58"/>
      <c r="P283" s="58"/>
      <c r="Q283" s="58"/>
      <c r="R283" s="58"/>
      <c r="S283" s="58"/>
      <c r="T283" s="58"/>
      <c r="U283" s="7"/>
      <c r="V283" s="62"/>
    </row>
    <row r="284" spans="1:22" x14ac:dyDescent="0.3">
      <c r="A284" s="61"/>
      <c r="B284" s="61"/>
      <c r="C284" s="61"/>
      <c r="D284" s="63"/>
      <c r="E284" s="64" t="s">
        <v>17</v>
      </c>
      <c r="F284" s="65">
        <v>40</v>
      </c>
      <c r="G284" s="66">
        <v>0</v>
      </c>
      <c r="H284" s="66">
        <v>0</v>
      </c>
      <c r="I284" s="66">
        <v>0</v>
      </c>
      <c r="J284" s="59">
        <f>OR(F284&lt;&gt;0,G284&lt;&gt;0,H284&lt;&gt;0,I284&lt;&gt;0)*(F284 + (F284 = 0))*(G284 + (G284 = 0))*(H284 + (H284 = 0))*(I284 + (I284 = 0))</f>
        <v>40</v>
      </c>
      <c r="K284" s="58"/>
      <c r="L284" s="58"/>
      <c r="M284" s="62"/>
      <c r="N284" s="64" t="s">
        <v>17</v>
      </c>
      <c r="O284" s="65">
        <v>40</v>
      </c>
      <c r="P284" s="66">
        <v>0</v>
      </c>
      <c r="Q284" s="66">
        <v>0</v>
      </c>
      <c r="R284" s="66">
        <v>0</v>
      </c>
      <c r="S284" s="59">
        <f>OR(O284&lt;&gt;0,P284&lt;&gt;0,Q284&lt;&gt;0,R284&lt;&gt;0)*(O284 + (O284 = 0))*(P284 + (P284 = 0))*(Q284 + (Q284 = 0))*(R284 + (R284 = 0))</f>
        <v>40</v>
      </c>
      <c r="T284" s="58"/>
      <c r="U284" s="7"/>
      <c r="V284" s="62"/>
    </row>
    <row r="285" spans="1:22" x14ac:dyDescent="0.3">
      <c r="A285" s="61"/>
      <c r="B285" s="61"/>
      <c r="C285" s="61"/>
      <c r="D285" s="63"/>
      <c r="E285" s="57"/>
      <c r="F285" s="58"/>
      <c r="G285" s="58"/>
      <c r="H285" s="58"/>
      <c r="I285" s="58"/>
      <c r="J285" s="67" t="s">
        <v>278</v>
      </c>
      <c r="K285" s="68">
        <f>J284*1</f>
        <v>40</v>
      </c>
      <c r="L285" s="66">
        <f>2.17*1.06</f>
        <v>2.2999999999999998</v>
      </c>
      <c r="M285" s="69">
        <f>ROUND(K285*L285,2)</f>
        <v>92</v>
      </c>
      <c r="N285" s="57"/>
      <c r="O285" s="58"/>
      <c r="P285" s="58"/>
      <c r="Q285" s="58"/>
      <c r="R285" s="58"/>
      <c r="S285" s="67" t="s">
        <v>278</v>
      </c>
      <c r="T285" s="68">
        <f>S284*1</f>
        <v>40</v>
      </c>
      <c r="U285" s="9">
        <v>0</v>
      </c>
      <c r="V285" s="69">
        <f>ROUND(T285*U285,2)</f>
        <v>0</v>
      </c>
    </row>
    <row r="286" spans="1:22" ht="1.2" customHeight="1" x14ac:dyDescent="0.3">
      <c r="A286" s="70"/>
      <c r="B286" s="70"/>
      <c r="C286" s="70"/>
      <c r="D286" s="71"/>
      <c r="E286" s="72"/>
      <c r="F286" s="73"/>
      <c r="G286" s="73"/>
      <c r="H286" s="73"/>
      <c r="I286" s="73"/>
      <c r="J286" s="73"/>
      <c r="K286" s="73"/>
      <c r="L286" s="73"/>
      <c r="M286" s="74"/>
      <c r="N286" s="72"/>
      <c r="O286" s="73"/>
      <c r="P286" s="73"/>
      <c r="Q286" s="73"/>
      <c r="R286" s="73"/>
      <c r="S286" s="73"/>
      <c r="T286" s="73"/>
      <c r="U286" s="11"/>
      <c r="V286" s="74"/>
    </row>
    <row r="287" spans="1:22" x14ac:dyDescent="0.3">
      <c r="A287" s="61"/>
      <c r="B287" s="61"/>
      <c r="C287" s="61"/>
      <c r="D287" s="63"/>
      <c r="E287" s="57"/>
      <c r="F287" s="58"/>
      <c r="G287" s="58"/>
      <c r="H287" s="58"/>
      <c r="I287" s="58"/>
      <c r="J287" s="67" t="s">
        <v>279</v>
      </c>
      <c r="K287" s="66">
        <v>1</v>
      </c>
      <c r="L287" s="68">
        <f>M282</f>
        <v>92</v>
      </c>
      <c r="M287" s="69">
        <f>ROUND(K287*L287,2)</f>
        <v>92</v>
      </c>
      <c r="N287" s="57"/>
      <c r="O287" s="58"/>
      <c r="P287" s="58"/>
      <c r="Q287" s="58"/>
      <c r="R287" s="58"/>
      <c r="S287" s="67" t="s">
        <v>279</v>
      </c>
      <c r="T287" s="66">
        <v>1</v>
      </c>
      <c r="U287" s="10">
        <f>V282</f>
        <v>0</v>
      </c>
      <c r="V287" s="69">
        <f>ROUND(T287*U287,2)</f>
        <v>0</v>
      </c>
    </row>
    <row r="288" spans="1:22" ht="1.2" customHeight="1" x14ac:dyDescent="0.3">
      <c r="A288" s="70"/>
      <c r="B288" s="70"/>
      <c r="C288" s="70"/>
      <c r="D288" s="71"/>
      <c r="E288" s="72"/>
      <c r="F288" s="73"/>
      <c r="G288" s="73"/>
      <c r="H288" s="73"/>
      <c r="I288" s="73"/>
      <c r="J288" s="73"/>
      <c r="K288" s="73"/>
      <c r="L288" s="73"/>
      <c r="M288" s="74"/>
      <c r="N288" s="72"/>
      <c r="O288" s="73"/>
      <c r="P288" s="73"/>
      <c r="Q288" s="73"/>
      <c r="R288" s="73"/>
      <c r="S288" s="73"/>
      <c r="T288" s="73"/>
      <c r="U288" s="11"/>
      <c r="V288" s="74"/>
    </row>
    <row r="289" spans="1:22" x14ac:dyDescent="0.3">
      <c r="A289" s="35" t="s">
        <v>280</v>
      </c>
      <c r="B289" s="35" t="s">
        <v>16</v>
      </c>
      <c r="C289" s="35" t="s">
        <v>17</v>
      </c>
      <c r="D289" s="36" t="s">
        <v>281</v>
      </c>
      <c r="E289" s="37"/>
      <c r="F289" s="38"/>
      <c r="G289" s="38"/>
      <c r="H289" s="38"/>
      <c r="I289" s="38"/>
      <c r="J289" s="38"/>
      <c r="K289" s="41">
        <f>K295</f>
        <v>1</v>
      </c>
      <c r="L289" s="41">
        <f>L295</f>
        <v>1068</v>
      </c>
      <c r="M289" s="40">
        <f>M295</f>
        <v>1068</v>
      </c>
      <c r="N289" s="37"/>
      <c r="O289" s="38"/>
      <c r="P289" s="38"/>
      <c r="Q289" s="38"/>
      <c r="R289" s="38"/>
      <c r="S289" s="38"/>
      <c r="T289" s="41">
        <f>T295</f>
        <v>1</v>
      </c>
      <c r="U289" s="4">
        <f>U295</f>
        <v>0</v>
      </c>
      <c r="V289" s="40">
        <f>V295</f>
        <v>0</v>
      </c>
    </row>
    <row r="290" spans="1:22" x14ac:dyDescent="0.3">
      <c r="A290" s="54" t="s">
        <v>282</v>
      </c>
      <c r="B290" s="55" t="s">
        <v>32</v>
      </c>
      <c r="C290" s="55" t="s">
        <v>185</v>
      </c>
      <c r="D290" s="56" t="s">
        <v>283</v>
      </c>
      <c r="E290" s="57"/>
      <c r="F290" s="58"/>
      <c r="G290" s="58"/>
      <c r="H290" s="58"/>
      <c r="I290" s="58"/>
      <c r="J290" s="58"/>
      <c r="K290" s="59">
        <f>K293</f>
        <v>40</v>
      </c>
      <c r="L290" s="59">
        <f>L293</f>
        <v>26.7</v>
      </c>
      <c r="M290" s="60">
        <f>M293</f>
        <v>1068</v>
      </c>
      <c r="N290" s="57"/>
      <c r="O290" s="58"/>
      <c r="P290" s="58"/>
      <c r="Q290" s="58"/>
      <c r="R290" s="58"/>
      <c r="S290" s="58"/>
      <c r="T290" s="59">
        <f>T293</f>
        <v>40</v>
      </c>
      <c r="U290" s="8">
        <f>U293</f>
        <v>0</v>
      </c>
      <c r="V290" s="60">
        <f>V293</f>
        <v>0</v>
      </c>
    </row>
    <row r="291" spans="1:22" ht="81.599999999999994" x14ac:dyDescent="0.3">
      <c r="A291" s="61"/>
      <c r="B291" s="61"/>
      <c r="C291" s="61"/>
      <c r="D291" s="56" t="s">
        <v>284</v>
      </c>
      <c r="E291" s="57"/>
      <c r="F291" s="58"/>
      <c r="G291" s="58"/>
      <c r="H291" s="58"/>
      <c r="I291" s="58"/>
      <c r="J291" s="58"/>
      <c r="K291" s="58"/>
      <c r="L291" s="58"/>
      <c r="M291" s="62"/>
      <c r="N291" s="57"/>
      <c r="O291" s="58"/>
      <c r="P291" s="58"/>
      <c r="Q291" s="58"/>
      <c r="R291" s="58"/>
      <c r="S291" s="58"/>
      <c r="T291" s="58"/>
      <c r="U291" s="7"/>
      <c r="V291" s="62"/>
    </row>
    <row r="292" spans="1:22" x14ac:dyDescent="0.3">
      <c r="A292" s="61"/>
      <c r="B292" s="61"/>
      <c r="C292" s="61"/>
      <c r="D292" s="63"/>
      <c r="E292" s="64" t="s">
        <v>17</v>
      </c>
      <c r="F292" s="65">
        <v>40</v>
      </c>
      <c r="G292" s="66">
        <v>0</v>
      </c>
      <c r="H292" s="66">
        <v>0</v>
      </c>
      <c r="I292" s="66">
        <v>0</v>
      </c>
      <c r="J292" s="59">
        <f>OR(F292&lt;&gt;0,G292&lt;&gt;0,H292&lt;&gt;0,I292&lt;&gt;0)*(F292 + (F292 = 0))*(G292 + (G292 = 0))*(H292 + (H292 = 0))*(I292 + (I292 = 0))</f>
        <v>40</v>
      </c>
      <c r="K292" s="58"/>
      <c r="L292" s="58"/>
      <c r="M292" s="62"/>
      <c r="N292" s="64" t="s">
        <v>17</v>
      </c>
      <c r="O292" s="65">
        <v>40</v>
      </c>
      <c r="P292" s="66">
        <v>0</v>
      </c>
      <c r="Q292" s="66">
        <v>0</v>
      </c>
      <c r="R292" s="66">
        <v>0</v>
      </c>
      <c r="S292" s="59">
        <f>OR(O292&lt;&gt;0,P292&lt;&gt;0,Q292&lt;&gt;0,R292&lt;&gt;0)*(O292 + (O292 = 0))*(P292 + (P292 = 0))*(Q292 + (Q292 = 0))*(R292 + (R292 = 0))</f>
        <v>40</v>
      </c>
      <c r="T292" s="58"/>
      <c r="U292" s="7"/>
      <c r="V292" s="62"/>
    </row>
    <row r="293" spans="1:22" x14ac:dyDescent="0.3">
      <c r="A293" s="61"/>
      <c r="B293" s="61"/>
      <c r="C293" s="61"/>
      <c r="D293" s="63"/>
      <c r="E293" s="57"/>
      <c r="F293" s="58"/>
      <c r="G293" s="58"/>
      <c r="H293" s="58"/>
      <c r="I293" s="58"/>
      <c r="J293" s="67" t="s">
        <v>285</v>
      </c>
      <c r="K293" s="68">
        <f>J292*1</f>
        <v>40</v>
      </c>
      <c r="L293" s="66">
        <f>25.19*1.06</f>
        <v>26.7</v>
      </c>
      <c r="M293" s="69">
        <f>ROUND(K293*L293,2)</f>
        <v>1068</v>
      </c>
      <c r="N293" s="57"/>
      <c r="O293" s="58"/>
      <c r="P293" s="58"/>
      <c r="Q293" s="58"/>
      <c r="R293" s="58"/>
      <c r="S293" s="67" t="s">
        <v>285</v>
      </c>
      <c r="T293" s="68">
        <f>S292*1</f>
        <v>40</v>
      </c>
      <c r="U293" s="9">
        <v>0</v>
      </c>
      <c r="V293" s="69">
        <f>ROUND(T293*U293,2)</f>
        <v>0</v>
      </c>
    </row>
    <row r="294" spans="1:22" ht="1.2" customHeight="1" x14ac:dyDescent="0.3">
      <c r="A294" s="70"/>
      <c r="B294" s="70"/>
      <c r="C294" s="70"/>
      <c r="D294" s="71"/>
      <c r="E294" s="72"/>
      <c r="F294" s="73"/>
      <c r="G294" s="73"/>
      <c r="H294" s="73"/>
      <c r="I294" s="73"/>
      <c r="J294" s="73"/>
      <c r="K294" s="73"/>
      <c r="L294" s="73"/>
      <c r="M294" s="74"/>
      <c r="N294" s="72"/>
      <c r="O294" s="73"/>
      <c r="P294" s="73"/>
      <c r="Q294" s="73"/>
      <c r="R294" s="73"/>
      <c r="S294" s="73"/>
      <c r="T294" s="73"/>
      <c r="U294" s="11"/>
      <c r="V294" s="74"/>
    </row>
    <row r="295" spans="1:22" x14ac:dyDescent="0.3">
      <c r="A295" s="61"/>
      <c r="B295" s="61"/>
      <c r="C295" s="61"/>
      <c r="D295" s="63"/>
      <c r="E295" s="57"/>
      <c r="F295" s="58"/>
      <c r="G295" s="58"/>
      <c r="H295" s="58"/>
      <c r="I295" s="58"/>
      <c r="J295" s="67" t="s">
        <v>286</v>
      </c>
      <c r="K295" s="66">
        <v>1</v>
      </c>
      <c r="L295" s="68">
        <f>M290</f>
        <v>1068</v>
      </c>
      <c r="M295" s="69">
        <f>ROUND(K295*L295,2)</f>
        <v>1068</v>
      </c>
      <c r="N295" s="57"/>
      <c r="O295" s="58"/>
      <c r="P295" s="58"/>
      <c r="Q295" s="58"/>
      <c r="R295" s="58"/>
      <c r="S295" s="67" t="s">
        <v>286</v>
      </c>
      <c r="T295" s="66">
        <v>1</v>
      </c>
      <c r="U295" s="10">
        <f>V290</f>
        <v>0</v>
      </c>
      <c r="V295" s="69">
        <f>ROUND(T295*U295,2)</f>
        <v>0</v>
      </c>
    </row>
    <row r="296" spans="1:22" ht="1.2" customHeight="1" x14ac:dyDescent="0.3">
      <c r="A296" s="70"/>
      <c r="B296" s="70"/>
      <c r="C296" s="70"/>
      <c r="D296" s="71"/>
      <c r="E296" s="72"/>
      <c r="F296" s="73"/>
      <c r="G296" s="73"/>
      <c r="H296" s="73"/>
      <c r="I296" s="73"/>
      <c r="J296" s="73"/>
      <c r="K296" s="73"/>
      <c r="L296" s="73"/>
      <c r="M296" s="74"/>
      <c r="N296" s="72"/>
      <c r="O296" s="73"/>
      <c r="P296" s="73"/>
      <c r="Q296" s="73"/>
      <c r="R296" s="73"/>
      <c r="S296" s="73"/>
      <c r="T296" s="73"/>
      <c r="U296" s="11"/>
      <c r="V296" s="74"/>
    </row>
    <row r="297" spans="1:22" x14ac:dyDescent="0.3">
      <c r="A297" s="35" t="s">
        <v>287</v>
      </c>
      <c r="B297" s="35" t="s">
        <v>16</v>
      </c>
      <c r="C297" s="35" t="s">
        <v>17</v>
      </c>
      <c r="D297" s="36" t="s">
        <v>288</v>
      </c>
      <c r="E297" s="37"/>
      <c r="F297" s="38"/>
      <c r="G297" s="38"/>
      <c r="H297" s="38"/>
      <c r="I297" s="38"/>
      <c r="J297" s="38"/>
      <c r="K297" s="41">
        <f>K302</f>
        <v>1</v>
      </c>
      <c r="L297" s="41">
        <f>L302</f>
        <v>1132.3</v>
      </c>
      <c r="M297" s="40">
        <f>M302</f>
        <v>1132.3</v>
      </c>
      <c r="N297" s="37"/>
      <c r="O297" s="38"/>
      <c r="P297" s="38"/>
      <c r="Q297" s="38"/>
      <c r="R297" s="38"/>
      <c r="S297" s="38"/>
      <c r="T297" s="41">
        <f>T302</f>
        <v>1</v>
      </c>
      <c r="U297" s="4">
        <f>U302</f>
        <v>0</v>
      </c>
      <c r="V297" s="40">
        <f>V302</f>
        <v>0</v>
      </c>
    </row>
    <row r="298" spans="1:22" x14ac:dyDescent="0.3">
      <c r="A298" s="54" t="s">
        <v>289</v>
      </c>
      <c r="B298" s="55" t="s">
        <v>32</v>
      </c>
      <c r="C298" s="55" t="s">
        <v>185</v>
      </c>
      <c r="D298" s="56" t="s">
        <v>290</v>
      </c>
      <c r="E298" s="57"/>
      <c r="F298" s="58"/>
      <c r="G298" s="58"/>
      <c r="H298" s="58"/>
      <c r="I298" s="58"/>
      <c r="J298" s="58"/>
      <c r="K298" s="66">
        <v>10</v>
      </c>
      <c r="L298" s="66">
        <f>17.95*1.06</f>
        <v>19.03</v>
      </c>
      <c r="M298" s="60">
        <f>ROUND(K298*L298,2)</f>
        <v>190.3</v>
      </c>
      <c r="N298" s="57"/>
      <c r="O298" s="58"/>
      <c r="P298" s="58"/>
      <c r="Q298" s="58"/>
      <c r="R298" s="58"/>
      <c r="S298" s="58"/>
      <c r="T298" s="66">
        <v>10</v>
      </c>
      <c r="U298" s="9">
        <v>0</v>
      </c>
      <c r="V298" s="60">
        <f>ROUND(T298*U298,2)</f>
        <v>0</v>
      </c>
    </row>
    <row r="299" spans="1:22" ht="91.8" x14ac:dyDescent="0.3">
      <c r="A299" s="61"/>
      <c r="B299" s="61"/>
      <c r="C299" s="61"/>
      <c r="D299" s="56" t="s">
        <v>291</v>
      </c>
      <c r="E299" s="57"/>
      <c r="F299" s="58"/>
      <c r="G299" s="58"/>
      <c r="H299" s="58"/>
      <c r="I299" s="58"/>
      <c r="J299" s="58"/>
      <c r="K299" s="58"/>
      <c r="L299" s="58"/>
      <c r="M299" s="62"/>
      <c r="N299" s="57"/>
      <c r="O299" s="58"/>
      <c r="P299" s="58"/>
      <c r="Q299" s="58"/>
      <c r="R299" s="58"/>
      <c r="S299" s="58"/>
      <c r="T299" s="58"/>
      <c r="U299" s="7"/>
      <c r="V299" s="62"/>
    </row>
    <row r="300" spans="1:22" x14ac:dyDescent="0.3">
      <c r="A300" s="54" t="s">
        <v>292</v>
      </c>
      <c r="B300" s="55" t="s">
        <v>32</v>
      </c>
      <c r="C300" s="55" t="s">
        <v>67</v>
      </c>
      <c r="D300" s="56" t="s">
        <v>293</v>
      </c>
      <c r="E300" s="57"/>
      <c r="F300" s="58"/>
      <c r="G300" s="58"/>
      <c r="H300" s="58"/>
      <c r="I300" s="58"/>
      <c r="J300" s="58"/>
      <c r="K300" s="66">
        <v>60</v>
      </c>
      <c r="L300" s="66">
        <f>14.81*1.06</f>
        <v>15.7</v>
      </c>
      <c r="M300" s="60">
        <f>ROUND(K300*L300,2)</f>
        <v>942</v>
      </c>
      <c r="N300" s="57"/>
      <c r="O300" s="58"/>
      <c r="P300" s="58"/>
      <c r="Q300" s="58"/>
      <c r="R300" s="58"/>
      <c r="S300" s="58"/>
      <c r="T300" s="66">
        <v>60</v>
      </c>
      <c r="U300" s="9">
        <v>0</v>
      </c>
      <c r="V300" s="60">
        <f>ROUND(T300*U300,2)</f>
        <v>0</v>
      </c>
    </row>
    <row r="301" spans="1:22" ht="81.599999999999994" x14ac:dyDescent="0.3">
      <c r="A301" s="61"/>
      <c r="B301" s="61"/>
      <c r="C301" s="61"/>
      <c r="D301" s="56" t="s">
        <v>294</v>
      </c>
      <c r="E301" s="57"/>
      <c r="F301" s="58"/>
      <c r="G301" s="58"/>
      <c r="H301" s="58"/>
      <c r="I301" s="58"/>
      <c r="J301" s="58"/>
      <c r="K301" s="58"/>
      <c r="L301" s="58"/>
      <c r="M301" s="62"/>
      <c r="N301" s="57"/>
      <c r="O301" s="58"/>
      <c r="P301" s="58"/>
      <c r="Q301" s="58"/>
      <c r="R301" s="58"/>
      <c r="S301" s="58"/>
      <c r="T301" s="58"/>
      <c r="U301" s="7"/>
      <c r="V301" s="62"/>
    </row>
    <row r="302" spans="1:22" x14ac:dyDescent="0.3">
      <c r="A302" s="61"/>
      <c r="B302" s="61"/>
      <c r="C302" s="61"/>
      <c r="D302" s="63"/>
      <c r="E302" s="57"/>
      <c r="F302" s="58"/>
      <c r="G302" s="58"/>
      <c r="H302" s="58"/>
      <c r="I302" s="58"/>
      <c r="J302" s="67" t="s">
        <v>295</v>
      </c>
      <c r="K302" s="66">
        <v>1</v>
      </c>
      <c r="L302" s="68">
        <f>M298+M300</f>
        <v>1132.3</v>
      </c>
      <c r="M302" s="69">
        <f>ROUND(K302*L302,2)</f>
        <v>1132.3</v>
      </c>
      <c r="N302" s="57"/>
      <c r="O302" s="58"/>
      <c r="P302" s="58"/>
      <c r="Q302" s="58"/>
      <c r="R302" s="58"/>
      <c r="S302" s="67" t="s">
        <v>295</v>
      </c>
      <c r="T302" s="66">
        <v>1</v>
      </c>
      <c r="U302" s="10">
        <f>V298+V300</f>
        <v>0</v>
      </c>
      <c r="V302" s="69">
        <f>ROUND(T302*U302,2)</f>
        <v>0</v>
      </c>
    </row>
    <row r="303" spans="1:22" ht="1.2" customHeight="1" x14ac:dyDescent="0.3">
      <c r="A303" s="70"/>
      <c r="B303" s="70"/>
      <c r="C303" s="70"/>
      <c r="D303" s="71"/>
      <c r="E303" s="72"/>
      <c r="F303" s="73"/>
      <c r="G303" s="73"/>
      <c r="H303" s="73"/>
      <c r="I303" s="73"/>
      <c r="J303" s="73"/>
      <c r="K303" s="73"/>
      <c r="L303" s="73"/>
      <c r="M303" s="74"/>
      <c r="N303" s="72"/>
      <c r="O303" s="73"/>
      <c r="P303" s="73"/>
      <c r="Q303" s="73"/>
      <c r="R303" s="73"/>
      <c r="S303" s="73"/>
      <c r="T303" s="73"/>
      <c r="U303" s="11"/>
      <c r="V303" s="74"/>
    </row>
    <row r="304" spans="1:22" x14ac:dyDescent="0.3">
      <c r="A304" s="61"/>
      <c r="B304" s="61"/>
      <c r="C304" s="61"/>
      <c r="D304" s="63"/>
      <c r="E304" s="57"/>
      <c r="F304" s="58"/>
      <c r="G304" s="58"/>
      <c r="H304" s="58"/>
      <c r="I304" s="58"/>
      <c r="J304" s="67" t="s">
        <v>296</v>
      </c>
      <c r="K304" s="66">
        <v>1</v>
      </c>
      <c r="L304" s="68">
        <f>M258+M281+M289+M297</f>
        <v>3917.9</v>
      </c>
      <c r="M304" s="69">
        <f>ROUND(K304*L304,2)</f>
        <v>3917.9</v>
      </c>
      <c r="N304" s="57"/>
      <c r="O304" s="58"/>
      <c r="P304" s="58"/>
      <c r="Q304" s="58"/>
      <c r="R304" s="58"/>
      <c r="S304" s="67" t="s">
        <v>296</v>
      </c>
      <c r="T304" s="66">
        <v>1</v>
      </c>
      <c r="U304" s="68">
        <f>V258+V281+V289+V297</f>
        <v>0</v>
      </c>
      <c r="V304" s="69">
        <f>ROUND(T304*U304,2)</f>
        <v>0</v>
      </c>
    </row>
    <row r="305" spans="1:22" ht="1.2" customHeight="1" x14ac:dyDescent="0.3">
      <c r="A305" s="70"/>
      <c r="B305" s="70"/>
      <c r="C305" s="70"/>
      <c r="D305" s="71"/>
      <c r="E305" s="72"/>
      <c r="F305" s="73"/>
      <c r="G305" s="73"/>
      <c r="H305" s="73"/>
      <c r="I305" s="73"/>
      <c r="J305" s="73"/>
      <c r="K305" s="73"/>
      <c r="L305" s="73"/>
      <c r="M305" s="74"/>
      <c r="N305" s="72"/>
      <c r="O305" s="73"/>
      <c r="P305" s="73"/>
      <c r="Q305" s="73"/>
      <c r="R305" s="73"/>
      <c r="S305" s="73"/>
      <c r="T305" s="73"/>
      <c r="U305" s="11"/>
      <c r="V305" s="74"/>
    </row>
    <row r="306" spans="1:22" x14ac:dyDescent="0.3">
      <c r="A306" s="29" t="s">
        <v>297</v>
      </c>
      <c r="B306" s="29" t="s">
        <v>16</v>
      </c>
      <c r="C306" s="29" t="s">
        <v>17</v>
      </c>
      <c r="D306" s="30" t="s">
        <v>298</v>
      </c>
      <c r="E306" s="31"/>
      <c r="F306" s="32"/>
      <c r="G306" s="32"/>
      <c r="H306" s="32"/>
      <c r="I306" s="32"/>
      <c r="J306" s="32"/>
      <c r="K306" s="33">
        <f>K405</f>
        <v>1</v>
      </c>
      <c r="L306" s="33">
        <f>L405</f>
        <v>9358.1</v>
      </c>
      <c r="M306" s="34">
        <f>M405</f>
        <v>9358.1</v>
      </c>
      <c r="N306" s="31"/>
      <c r="O306" s="32"/>
      <c r="P306" s="32"/>
      <c r="Q306" s="32"/>
      <c r="R306" s="32"/>
      <c r="S306" s="32"/>
      <c r="T306" s="33">
        <f>T405</f>
        <v>1</v>
      </c>
      <c r="U306" s="2">
        <f>U405</f>
        <v>0</v>
      </c>
      <c r="V306" s="34">
        <f>V405</f>
        <v>0</v>
      </c>
    </row>
    <row r="307" spans="1:22" x14ac:dyDescent="0.3">
      <c r="A307" s="35" t="s">
        <v>299</v>
      </c>
      <c r="B307" s="35" t="s">
        <v>16</v>
      </c>
      <c r="C307" s="35" t="s">
        <v>17</v>
      </c>
      <c r="D307" s="36" t="s">
        <v>300</v>
      </c>
      <c r="E307" s="37"/>
      <c r="F307" s="38"/>
      <c r="G307" s="38"/>
      <c r="H307" s="38"/>
      <c r="I307" s="38"/>
      <c r="J307" s="38"/>
      <c r="K307" s="41">
        <f>K338</f>
        <v>1</v>
      </c>
      <c r="L307" s="41">
        <f>L338</f>
        <v>1892.32</v>
      </c>
      <c r="M307" s="40">
        <f>M338</f>
        <v>1892.32</v>
      </c>
      <c r="N307" s="37"/>
      <c r="O307" s="38"/>
      <c r="P307" s="38"/>
      <c r="Q307" s="38"/>
      <c r="R307" s="38"/>
      <c r="S307" s="38"/>
      <c r="T307" s="41">
        <f>T338</f>
        <v>1</v>
      </c>
      <c r="U307" s="4">
        <f>U338</f>
        <v>0</v>
      </c>
      <c r="V307" s="40">
        <f>V338</f>
        <v>0</v>
      </c>
    </row>
    <row r="308" spans="1:22" x14ac:dyDescent="0.3">
      <c r="A308" s="54" t="s">
        <v>301</v>
      </c>
      <c r="B308" s="55" t="s">
        <v>32</v>
      </c>
      <c r="C308" s="55" t="s">
        <v>185</v>
      </c>
      <c r="D308" s="56" t="s">
        <v>302</v>
      </c>
      <c r="E308" s="57"/>
      <c r="F308" s="58"/>
      <c r="G308" s="58"/>
      <c r="H308" s="58"/>
      <c r="I308" s="58"/>
      <c r="J308" s="58"/>
      <c r="K308" s="59">
        <f>K311</f>
        <v>15</v>
      </c>
      <c r="L308" s="59">
        <f>L311</f>
        <v>47.81</v>
      </c>
      <c r="M308" s="60">
        <f>M311</f>
        <v>717.15</v>
      </c>
      <c r="N308" s="57"/>
      <c r="O308" s="58"/>
      <c r="P308" s="58"/>
      <c r="Q308" s="58"/>
      <c r="R308" s="58"/>
      <c r="S308" s="58"/>
      <c r="T308" s="59">
        <f>T311</f>
        <v>15</v>
      </c>
      <c r="U308" s="8">
        <f>U311</f>
        <v>0</v>
      </c>
      <c r="V308" s="60">
        <f>V311</f>
        <v>0</v>
      </c>
    </row>
    <row r="309" spans="1:22" ht="71.400000000000006" x14ac:dyDescent="0.3">
      <c r="A309" s="61"/>
      <c r="B309" s="61"/>
      <c r="C309" s="61"/>
      <c r="D309" s="56" t="s">
        <v>303</v>
      </c>
      <c r="E309" s="57"/>
      <c r="F309" s="58"/>
      <c r="G309" s="58"/>
      <c r="H309" s="58"/>
      <c r="I309" s="58"/>
      <c r="J309" s="58"/>
      <c r="K309" s="58"/>
      <c r="L309" s="58"/>
      <c r="M309" s="62"/>
      <c r="N309" s="57"/>
      <c r="O309" s="58"/>
      <c r="P309" s="58"/>
      <c r="Q309" s="58"/>
      <c r="R309" s="58"/>
      <c r="S309" s="58"/>
      <c r="T309" s="58"/>
      <c r="U309" s="7"/>
      <c r="V309" s="62"/>
    </row>
    <row r="310" spans="1:22" x14ac:dyDescent="0.3">
      <c r="A310" s="61"/>
      <c r="B310" s="61"/>
      <c r="C310" s="61"/>
      <c r="D310" s="63"/>
      <c r="E310" s="64" t="s">
        <v>17</v>
      </c>
      <c r="F310" s="65">
        <v>15</v>
      </c>
      <c r="G310" s="66">
        <v>0</v>
      </c>
      <c r="H310" s="66">
        <v>0</v>
      </c>
      <c r="I310" s="66">
        <v>0</v>
      </c>
      <c r="J310" s="59">
        <f>OR(F310&lt;&gt;0,G310&lt;&gt;0,H310&lt;&gt;0,I310&lt;&gt;0)*(F310 + (F310 = 0))*(G310 + (G310 = 0))*(H310 + (H310 = 0))*(I310 + (I310 = 0))</f>
        <v>15</v>
      </c>
      <c r="K310" s="58"/>
      <c r="L310" s="58"/>
      <c r="M310" s="62"/>
      <c r="N310" s="64" t="s">
        <v>17</v>
      </c>
      <c r="O310" s="65">
        <v>15</v>
      </c>
      <c r="P310" s="66">
        <v>0</v>
      </c>
      <c r="Q310" s="66">
        <v>0</v>
      </c>
      <c r="R310" s="66">
        <v>0</v>
      </c>
      <c r="S310" s="59">
        <f>OR(O310&lt;&gt;0,P310&lt;&gt;0,Q310&lt;&gt;0,R310&lt;&gt;0)*(O310 + (O310 = 0))*(P310 + (P310 = 0))*(Q310 + (Q310 = 0))*(R310 + (R310 = 0))</f>
        <v>15</v>
      </c>
      <c r="T310" s="58"/>
      <c r="U310" s="7"/>
      <c r="V310" s="62"/>
    </row>
    <row r="311" spans="1:22" x14ac:dyDescent="0.3">
      <c r="A311" s="61"/>
      <c r="B311" s="61"/>
      <c r="C311" s="61"/>
      <c r="D311" s="63"/>
      <c r="E311" s="57"/>
      <c r="F311" s="58"/>
      <c r="G311" s="58"/>
      <c r="H311" s="58"/>
      <c r="I311" s="58"/>
      <c r="J311" s="67" t="s">
        <v>304</v>
      </c>
      <c r="K311" s="68">
        <f>J310*1</f>
        <v>15</v>
      </c>
      <c r="L311" s="66">
        <f>45.1*1.06</f>
        <v>47.81</v>
      </c>
      <c r="M311" s="69">
        <f>ROUND(K311*L311,2)</f>
        <v>717.15</v>
      </c>
      <c r="N311" s="57"/>
      <c r="O311" s="58"/>
      <c r="P311" s="58"/>
      <c r="Q311" s="58"/>
      <c r="R311" s="58"/>
      <c r="S311" s="67" t="s">
        <v>304</v>
      </c>
      <c r="T311" s="68">
        <f>S310*1</f>
        <v>15</v>
      </c>
      <c r="U311" s="9">
        <v>0</v>
      </c>
      <c r="V311" s="69">
        <f>ROUND(T311*U311,2)</f>
        <v>0</v>
      </c>
    </row>
    <row r="312" spans="1:22" ht="1.2" customHeight="1" x14ac:dyDescent="0.3">
      <c r="A312" s="70"/>
      <c r="B312" s="70"/>
      <c r="C312" s="70"/>
      <c r="D312" s="71"/>
      <c r="E312" s="72"/>
      <c r="F312" s="73"/>
      <c r="G312" s="73"/>
      <c r="H312" s="73"/>
      <c r="I312" s="73"/>
      <c r="J312" s="73"/>
      <c r="K312" s="73"/>
      <c r="L312" s="73"/>
      <c r="M312" s="74"/>
      <c r="N312" s="72"/>
      <c r="O312" s="73"/>
      <c r="P312" s="73"/>
      <c r="Q312" s="73"/>
      <c r="R312" s="73"/>
      <c r="S312" s="73"/>
      <c r="T312" s="73"/>
      <c r="U312" s="11"/>
      <c r="V312" s="74"/>
    </row>
    <row r="313" spans="1:22" x14ac:dyDescent="0.3">
      <c r="A313" s="54" t="s">
        <v>305</v>
      </c>
      <c r="B313" s="55" t="s">
        <v>32</v>
      </c>
      <c r="C313" s="55" t="s">
        <v>185</v>
      </c>
      <c r="D313" s="56" t="s">
        <v>306</v>
      </c>
      <c r="E313" s="57"/>
      <c r="F313" s="58"/>
      <c r="G313" s="58"/>
      <c r="H313" s="58"/>
      <c r="I313" s="58"/>
      <c r="J313" s="58"/>
      <c r="K313" s="59">
        <f>K316</f>
        <v>15</v>
      </c>
      <c r="L313" s="59">
        <f>L316</f>
        <v>51.04</v>
      </c>
      <c r="M313" s="60">
        <f>M316</f>
        <v>765.6</v>
      </c>
      <c r="N313" s="57"/>
      <c r="O313" s="58"/>
      <c r="P313" s="58"/>
      <c r="Q313" s="58"/>
      <c r="R313" s="58"/>
      <c r="S313" s="58"/>
      <c r="T313" s="59">
        <f>T316</f>
        <v>15</v>
      </c>
      <c r="U313" s="8">
        <f>U316</f>
        <v>0</v>
      </c>
      <c r="V313" s="60">
        <f>V316</f>
        <v>0</v>
      </c>
    </row>
    <row r="314" spans="1:22" ht="71.400000000000006" x14ac:dyDescent="0.3">
      <c r="A314" s="61"/>
      <c r="B314" s="61"/>
      <c r="C314" s="61"/>
      <c r="D314" s="56" t="s">
        <v>307</v>
      </c>
      <c r="E314" s="57"/>
      <c r="F314" s="58"/>
      <c r="G314" s="58"/>
      <c r="H314" s="58"/>
      <c r="I314" s="58"/>
      <c r="J314" s="58"/>
      <c r="K314" s="58"/>
      <c r="L314" s="58"/>
      <c r="M314" s="62"/>
      <c r="N314" s="57"/>
      <c r="O314" s="58"/>
      <c r="P314" s="58"/>
      <c r="Q314" s="58"/>
      <c r="R314" s="58"/>
      <c r="S314" s="58"/>
      <c r="T314" s="58"/>
      <c r="U314" s="7"/>
      <c r="V314" s="62"/>
    </row>
    <row r="315" spans="1:22" x14ac:dyDescent="0.3">
      <c r="A315" s="61"/>
      <c r="B315" s="61"/>
      <c r="C315" s="61"/>
      <c r="D315" s="63"/>
      <c r="E315" s="64" t="s">
        <v>17</v>
      </c>
      <c r="F315" s="65">
        <v>15</v>
      </c>
      <c r="G315" s="66">
        <v>0</v>
      </c>
      <c r="H315" s="66">
        <v>0</v>
      </c>
      <c r="I315" s="66">
        <v>0</v>
      </c>
      <c r="J315" s="59">
        <f>OR(F315&lt;&gt;0,G315&lt;&gt;0,H315&lt;&gt;0,I315&lt;&gt;0)*(F315 + (F315 = 0))*(G315 + (G315 = 0))*(H315 + (H315 = 0))*(I315 + (I315 = 0))</f>
        <v>15</v>
      </c>
      <c r="K315" s="58"/>
      <c r="L315" s="58"/>
      <c r="M315" s="62"/>
      <c r="N315" s="64" t="s">
        <v>17</v>
      </c>
      <c r="O315" s="65">
        <v>15</v>
      </c>
      <c r="P315" s="66">
        <v>0</v>
      </c>
      <c r="Q315" s="66">
        <v>0</v>
      </c>
      <c r="R315" s="66">
        <v>0</v>
      </c>
      <c r="S315" s="59">
        <f>OR(O315&lt;&gt;0,P315&lt;&gt;0,Q315&lt;&gt;0,R315&lt;&gt;0)*(O315 + (O315 = 0))*(P315 + (P315 = 0))*(Q315 + (Q315 = 0))*(R315 + (R315 = 0))</f>
        <v>15</v>
      </c>
      <c r="T315" s="58"/>
      <c r="U315" s="7"/>
      <c r="V315" s="62"/>
    </row>
    <row r="316" spans="1:22" x14ac:dyDescent="0.3">
      <c r="A316" s="61"/>
      <c r="B316" s="61"/>
      <c r="C316" s="61"/>
      <c r="D316" s="63"/>
      <c r="E316" s="57"/>
      <c r="F316" s="58"/>
      <c r="G316" s="58"/>
      <c r="H316" s="58"/>
      <c r="I316" s="58"/>
      <c r="J316" s="67" t="s">
        <v>308</v>
      </c>
      <c r="K316" s="68">
        <f>J315*1</f>
        <v>15</v>
      </c>
      <c r="L316" s="66">
        <f>48.15*1.06</f>
        <v>51.04</v>
      </c>
      <c r="M316" s="69">
        <f>ROUND(K316*L316,2)</f>
        <v>765.6</v>
      </c>
      <c r="N316" s="57"/>
      <c r="O316" s="58"/>
      <c r="P316" s="58"/>
      <c r="Q316" s="58"/>
      <c r="R316" s="58"/>
      <c r="S316" s="67" t="s">
        <v>308</v>
      </c>
      <c r="T316" s="68">
        <f>S315*1</f>
        <v>15</v>
      </c>
      <c r="U316" s="9">
        <v>0</v>
      </c>
      <c r="V316" s="69">
        <f>ROUND(T316*U316,2)</f>
        <v>0</v>
      </c>
    </row>
    <row r="317" spans="1:22" ht="1.2" customHeight="1" x14ac:dyDescent="0.3">
      <c r="A317" s="70"/>
      <c r="B317" s="70"/>
      <c r="C317" s="70"/>
      <c r="D317" s="71"/>
      <c r="E317" s="72"/>
      <c r="F317" s="73"/>
      <c r="G317" s="73"/>
      <c r="H317" s="73"/>
      <c r="I317" s="73"/>
      <c r="J317" s="73"/>
      <c r="K317" s="73"/>
      <c r="L317" s="73"/>
      <c r="M317" s="74"/>
      <c r="N317" s="72"/>
      <c r="O317" s="73"/>
      <c r="P317" s="73"/>
      <c r="Q317" s="73"/>
      <c r="R317" s="73"/>
      <c r="S317" s="73"/>
      <c r="T317" s="73"/>
      <c r="U317" s="11"/>
      <c r="V317" s="74"/>
    </row>
    <row r="318" spans="1:22" x14ac:dyDescent="0.3">
      <c r="A318" s="54" t="s">
        <v>309</v>
      </c>
      <c r="B318" s="55" t="s">
        <v>32</v>
      </c>
      <c r="C318" s="55" t="s">
        <v>185</v>
      </c>
      <c r="D318" s="56" t="s">
        <v>310</v>
      </c>
      <c r="E318" s="57"/>
      <c r="F318" s="58"/>
      <c r="G318" s="58"/>
      <c r="H318" s="58"/>
      <c r="I318" s="58"/>
      <c r="J318" s="58"/>
      <c r="K318" s="59">
        <f>K321</f>
        <v>4</v>
      </c>
      <c r="L318" s="59">
        <f>L321</f>
        <v>36.67</v>
      </c>
      <c r="M318" s="60">
        <f>M321</f>
        <v>146.68</v>
      </c>
      <c r="N318" s="57"/>
      <c r="O318" s="58"/>
      <c r="P318" s="58"/>
      <c r="Q318" s="58"/>
      <c r="R318" s="58"/>
      <c r="S318" s="58"/>
      <c r="T318" s="59">
        <f>T321</f>
        <v>4</v>
      </c>
      <c r="U318" s="8">
        <f>U321</f>
        <v>0</v>
      </c>
      <c r="V318" s="60">
        <f>V321</f>
        <v>0</v>
      </c>
    </row>
    <row r="319" spans="1:22" ht="71.400000000000006" x14ac:dyDescent="0.3">
      <c r="A319" s="61"/>
      <c r="B319" s="61"/>
      <c r="C319" s="61"/>
      <c r="D319" s="56" t="s">
        <v>311</v>
      </c>
      <c r="E319" s="57"/>
      <c r="F319" s="58"/>
      <c r="G319" s="58"/>
      <c r="H319" s="58"/>
      <c r="I319" s="58"/>
      <c r="J319" s="58"/>
      <c r="K319" s="58"/>
      <c r="L319" s="58"/>
      <c r="M319" s="62"/>
      <c r="N319" s="57"/>
      <c r="O319" s="58"/>
      <c r="P319" s="58"/>
      <c r="Q319" s="58"/>
      <c r="R319" s="58"/>
      <c r="S319" s="58"/>
      <c r="T319" s="58"/>
      <c r="U319" s="7"/>
      <c r="V319" s="62"/>
    </row>
    <row r="320" spans="1:22" x14ac:dyDescent="0.3">
      <c r="A320" s="61"/>
      <c r="B320" s="61"/>
      <c r="C320" s="61"/>
      <c r="D320" s="63"/>
      <c r="E320" s="64" t="s">
        <v>17</v>
      </c>
      <c r="F320" s="65">
        <v>4</v>
      </c>
      <c r="G320" s="66">
        <v>0</v>
      </c>
      <c r="H320" s="66">
        <v>0</v>
      </c>
      <c r="I320" s="66">
        <v>0</v>
      </c>
      <c r="J320" s="59">
        <f>OR(F320&lt;&gt;0,G320&lt;&gt;0,H320&lt;&gt;0,I320&lt;&gt;0)*(F320 + (F320 = 0))*(G320 + (G320 = 0))*(H320 + (H320 = 0))*(I320 + (I320 = 0))</f>
        <v>4</v>
      </c>
      <c r="K320" s="58"/>
      <c r="L320" s="58"/>
      <c r="M320" s="62"/>
      <c r="N320" s="64" t="s">
        <v>17</v>
      </c>
      <c r="O320" s="65">
        <v>4</v>
      </c>
      <c r="P320" s="66">
        <v>0</v>
      </c>
      <c r="Q320" s="66">
        <v>0</v>
      </c>
      <c r="R320" s="66">
        <v>0</v>
      </c>
      <c r="S320" s="59">
        <f>OR(O320&lt;&gt;0,P320&lt;&gt;0,Q320&lt;&gt;0,R320&lt;&gt;0)*(O320 + (O320 = 0))*(P320 + (P320 = 0))*(Q320 + (Q320 = 0))*(R320 + (R320 = 0))</f>
        <v>4</v>
      </c>
      <c r="T320" s="58"/>
      <c r="U320" s="7"/>
      <c r="V320" s="62"/>
    </row>
    <row r="321" spans="1:22" x14ac:dyDescent="0.3">
      <c r="A321" s="61"/>
      <c r="B321" s="61"/>
      <c r="C321" s="61"/>
      <c r="D321" s="63"/>
      <c r="E321" s="57"/>
      <c r="F321" s="58"/>
      <c r="G321" s="58"/>
      <c r="H321" s="58"/>
      <c r="I321" s="58"/>
      <c r="J321" s="67" t="s">
        <v>312</v>
      </c>
      <c r="K321" s="68">
        <f>J320*1</f>
        <v>4</v>
      </c>
      <c r="L321" s="66">
        <f>34.59*1.06</f>
        <v>36.67</v>
      </c>
      <c r="M321" s="69">
        <f>ROUND(K321*L321,2)</f>
        <v>146.68</v>
      </c>
      <c r="N321" s="57"/>
      <c r="O321" s="58"/>
      <c r="P321" s="58"/>
      <c r="Q321" s="58"/>
      <c r="R321" s="58"/>
      <c r="S321" s="67" t="s">
        <v>312</v>
      </c>
      <c r="T321" s="68">
        <f>S320*1</f>
        <v>4</v>
      </c>
      <c r="U321" s="9">
        <v>0</v>
      </c>
      <c r="V321" s="69">
        <f>ROUND(T321*U321,2)</f>
        <v>0</v>
      </c>
    </row>
    <row r="322" spans="1:22" ht="1.2" customHeight="1" x14ac:dyDescent="0.3">
      <c r="A322" s="70"/>
      <c r="B322" s="70"/>
      <c r="C322" s="70"/>
      <c r="D322" s="71"/>
      <c r="E322" s="72"/>
      <c r="F322" s="73"/>
      <c r="G322" s="73"/>
      <c r="H322" s="73"/>
      <c r="I322" s="73"/>
      <c r="J322" s="73"/>
      <c r="K322" s="73"/>
      <c r="L322" s="73"/>
      <c r="M322" s="74"/>
      <c r="N322" s="72"/>
      <c r="O322" s="73"/>
      <c r="P322" s="73"/>
      <c r="Q322" s="73"/>
      <c r="R322" s="73"/>
      <c r="S322" s="73"/>
      <c r="T322" s="73"/>
      <c r="U322" s="11"/>
      <c r="V322" s="74"/>
    </row>
    <row r="323" spans="1:22" x14ac:dyDescent="0.3">
      <c r="A323" s="54" t="s">
        <v>313</v>
      </c>
      <c r="B323" s="55" t="s">
        <v>32</v>
      </c>
      <c r="C323" s="55" t="s">
        <v>185</v>
      </c>
      <c r="D323" s="56" t="s">
        <v>314</v>
      </c>
      <c r="E323" s="57"/>
      <c r="F323" s="58"/>
      <c r="G323" s="58"/>
      <c r="H323" s="58"/>
      <c r="I323" s="58"/>
      <c r="J323" s="58"/>
      <c r="K323" s="59">
        <f>K326</f>
        <v>4</v>
      </c>
      <c r="L323" s="59">
        <f>L326</f>
        <v>11.06</v>
      </c>
      <c r="M323" s="60">
        <f>M326</f>
        <v>44.24</v>
      </c>
      <c r="N323" s="57"/>
      <c r="O323" s="58"/>
      <c r="P323" s="58"/>
      <c r="Q323" s="58"/>
      <c r="R323" s="58"/>
      <c r="S323" s="58"/>
      <c r="T323" s="59">
        <f>T326</f>
        <v>4</v>
      </c>
      <c r="U323" s="8">
        <f>U326</f>
        <v>0</v>
      </c>
      <c r="V323" s="60">
        <f>V326</f>
        <v>0</v>
      </c>
    </row>
    <row r="324" spans="1:22" ht="51" x14ac:dyDescent="0.3">
      <c r="A324" s="61"/>
      <c r="B324" s="61"/>
      <c r="C324" s="61"/>
      <c r="D324" s="56" t="s">
        <v>315</v>
      </c>
      <c r="E324" s="57"/>
      <c r="F324" s="58"/>
      <c r="G324" s="58"/>
      <c r="H324" s="58"/>
      <c r="I324" s="58"/>
      <c r="J324" s="58"/>
      <c r="K324" s="58"/>
      <c r="L324" s="58"/>
      <c r="M324" s="62"/>
      <c r="N324" s="57"/>
      <c r="O324" s="58"/>
      <c r="P324" s="58"/>
      <c r="Q324" s="58"/>
      <c r="R324" s="58"/>
      <c r="S324" s="58"/>
      <c r="T324" s="58"/>
      <c r="U324" s="7"/>
      <c r="V324" s="62"/>
    </row>
    <row r="325" spans="1:22" x14ac:dyDescent="0.3">
      <c r="A325" s="61"/>
      <c r="B325" s="61"/>
      <c r="C325" s="61"/>
      <c r="D325" s="63"/>
      <c r="E325" s="64" t="s">
        <v>17</v>
      </c>
      <c r="F325" s="65">
        <v>4</v>
      </c>
      <c r="G325" s="66">
        <v>0</v>
      </c>
      <c r="H325" s="66">
        <v>0</v>
      </c>
      <c r="I325" s="66">
        <v>0</v>
      </c>
      <c r="J325" s="59">
        <f>OR(F325&lt;&gt;0,G325&lt;&gt;0,H325&lt;&gt;0,I325&lt;&gt;0)*(F325 + (F325 = 0))*(G325 + (G325 = 0))*(H325 + (H325 = 0))*(I325 + (I325 = 0))</f>
        <v>4</v>
      </c>
      <c r="K325" s="58"/>
      <c r="L325" s="58"/>
      <c r="M325" s="62"/>
      <c r="N325" s="64" t="s">
        <v>17</v>
      </c>
      <c r="O325" s="65">
        <v>4</v>
      </c>
      <c r="P325" s="66">
        <v>0</v>
      </c>
      <c r="Q325" s="66">
        <v>0</v>
      </c>
      <c r="R325" s="66">
        <v>0</v>
      </c>
      <c r="S325" s="59">
        <f>OR(O325&lt;&gt;0,P325&lt;&gt;0,Q325&lt;&gt;0,R325&lt;&gt;0)*(O325 + (O325 = 0))*(P325 + (P325 = 0))*(Q325 + (Q325 = 0))*(R325 + (R325 = 0))</f>
        <v>4</v>
      </c>
      <c r="T325" s="58"/>
      <c r="U325" s="7"/>
      <c r="V325" s="62"/>
    </row>
    <row r="326" spans="1:22" x14ac:dyDescent="0.3">
      <c r="A326" s="61"/>
      <c r="B326" s="61"/>
      <c r="C326" s="61"/>
      <c r="D326" s="63"/>
      <c r="E326" s="57"/>
      <c r="F326" s="58"/>
      <c r="G326" s="58"/>
      <c r="H326" s="58"/>
      <c r="I326" s="58"/>
      <c r="J326" s="67" t="s">
        <v>316</v>
      </c>
      <c r="K326" s="68">
        <f>J325*1</f>
        <v>4</v>
      </c>
      <c r="L326" s="66">
        <f>10.43*1.06</f>
        <v>11.06</v>
      </c>
      <c r="M326" s="69">
        <f>ROUND(K326*L326,2)</f>
        <v>44.24</v>
      </c>
      <c r="N326" s="57"/>
      <c r="O326" s="58"/>
      <c r="P326" s="58"/>
      <c r="Q326" s="58"/>
      <c r="R326" s="58"/>
      <c r="S326" s="67" t="s">
        <v>316</v>
      </c>
      <c r="T326" s="68">
        <f>S325*1</f>
        <v>4</v>
      </c>
      <c r="U326" s="9">
        <v>0</v>
      </c>
      <c r="V326" s="69">
        <f>ROUND(T326*U326,2)</f>
        <v>0</v>
      </c>
    </row>
    <row r="327" spans="1:22" ht="1.2" customHeight="1" x14ac:dyDescent="0.3">
      <c r="A327" s="70"/>
      <c r="B327" s="70"/>
      <c r="C327" s="70"/>
      <c r="D327" s="71"/>
      <c r="E327" s="72"/>
      <c r="F327" s="73"/>
      <c r="G327" s="73"/>
      <c r="H327" s="73"/>
      <c r="I327" s="73"/>
      <c r="J327" s="73"/>
      <c r="K327" s="73"/>
      <c r="L327" s="73"/>
      <c r="M327" s="74"/>
      <c r="N327" s="72"/>
      <c r="O327" s="73"/>
      <c r="P327" s="73"/>
      <c r="Q327" s="73"/>
      <c r="R327" s="73"/>
      <c r="S327" s="73"/>
      <c r="T327" s="73"/>
      <c r="U327" s="11"/>
      <c r="V327" s="74"/>
    </row>
    <row r="328" spans="1:22" x14ac:dyDescent="0.3">
      <c r="A328" s="54" t="s">
        <v>317</v>
      </c>
      <c r="B328" s="55" t="s">
        <v>32</v>
      </c>
      <c r="C328" s="55" t="s">
        <v>185</v>
      </c>
      <c r="D328" s="56" t="s">
        <v>318</v>
      </c>
      <c r="E328" s="57"/>
      <c r="F328" s="58"/>
      <c r="G328" s="58"/>
      <c r="H328" s="58"/>
      <c r="I328" s="58"/>
      <c r="J328" s="58"/>
      <c r="K328" s="59">
        <f>K331</f>
        <v>8</v>
      </c>
      <c r="L328" s="59">
        <f>L331</f>
        <v>22.22</v>
      </c>
      <c r="M328" s="60">
        <f>M331</f>
        <v>177.76</v>
      </c>
      <c r="N328" s="57"/>
      <c r="O328" s="58"/>
      <c r="P328" s="58"/>
      <c r="Q328" s="58"/>
      <c r="R328" s="58"/>
      <c r="S328" s="58"/>
      <c r="T328" s="59">
        <f>T331</f>
        <v>8</v>
      </c>
      <c r="U328" s="8">
        <f>U331</f>
        <v>0</v>
      </c>
      <c r="V328" s="60">
        <f>V331</f>
        <v>0</v>
      </c>
    </row>
    <row r="329" spans="1:22" ht="61.2" x14ac:dyDescent="0.3">
      <c r="A329" s="61"/>
      <c r="B329" s="61"/>
      <c r="C329" s="61"/>
      <c r="D329" s="56" t="s">
        <v>319</v>
      </c>
      <c r="E329" s="57"/>
      <c r="F329" s="58"/>
      <c r="G329" s="58"/>
      <c r="H329" s="58"/>
      <c r="I329" s="58"/>
      <c r="J329" s="58"/>
      <c r="K329" s="58"/>
      <c r="L329" s="58"/>
      <c r="M329" s="62"/>
      <c r="N329" s="57"/>
      <c r="O329" s="58"/>
      <c r="P329" s="58"/>
      <c r="Q329" s="58"/>
      <c r="R329" s="58"/>
      <c r="S329" s="58"/>
      <c r="T329" s="58"/>
      <c r="U329" s="7"/>
      <c r="V329" s="62"/>
    </row>
    <row r="330" spans="1:22" x14ac:dyDescent="0.3">
      <c r="A330" s="61"/>
      <c r="B330" s="61"/>
      <c r="C330" s="61"/>
      <c r="D330" s="63"/>
      <c r="E330" s="64" t="s">
        <v>17</v>
      </c>
      <c r="F330" s="65">
        <v>8</v>
      </c>
      <c r="G330" s="66">
        <v>0</v>
      </c>
      <c r="H330" s="66">
        <v>0</v>
      </c>
      <c r="I330" s="66">
        <v>0</v>
      </c>
      <c r="J330" s="59">
        <f>OR(F330&lt;&gt;0,G330&lt;&gt;0,H330&lt;&gt;0,I330&lt;&gt;0)*(F330 + (F330 = 0))*(G330 + (G330 = 0))*(H330 + (H330 = 0))*(I330 + (I330 = 0))</f>
        <v>8</v>
      </c>
      <c r="K330" s="58"/>
      <c r="L330" s="58"/>
      <c r="M330" s="62"/>
      <c r="N330" s="64" t="s">
        <v>17</v>
      </c>
      <c r="O330" s="65">
        <v>8</v>
      </c>
      <c r="P330" s="66">
        <v>0</v>
      </c>
      <c r="Q330" s="66">
        <v>0</v>
      </c>
      <c r="R330" s="66">
        <v>0</v>
      </c>
      <c r="S330" s="59">
        <f>OR(O330&lt;&gt;0,P330&lt;&gt;0,Q330&lt;&gt;0,R330&lt;&gt;0)*(O330 + (O330 = 0))*(P330 + (P330 = 0))*(Q330 + (Q330 = 0))*(R330 + (R330 = 0))</f>
        <v>8</v>
      </c>
      <c r="T330" s="58"/>
      <c r="U330" s="7"/>
      <c r="V330" s="62"/>
    </row>
    <row r="331" spans="1:22" x14ac:dyDescent="0.3">
      <c r="A331" s="61"/>
      <c r="B331" s="61"/>
      <c r="C331" s="61"/>
      <c r="D331" s="63"/>
      <c r="E331" s="57"/>
      <c r="F331" s="58"/>
      <c r="G331" s="58"/>
      <c r="H331" s="58"/>
      <c r="I331" s="58"/>
      <c r="J331" s="67" t="s">
        <v>320</v>
      </c>
      <c r="K331" s="68">
        <f>J330*1</f>
        <v>8</v>
      </c>
      <c r="L331" s="66">
        <f>20.96*1.06</f>
        <v>22.22</v>
      </c>
      <c r="M331" s="69">
        <f>ROUND(K331*L331,2)</f>
        <v>177.76</v>
      </c>
      <c r="N331" s="57"/>
      <c r="O331" s="58"/>
      <c r="P331" s="58"/>
      <c r="Q331" s="58"/>
      <c r="R331" s="58"/>
      <c r="S331" s="67" t="s">
        <v>320</v>
      </c>
      <c r="T331" s="68">
        <f>S330*1</f>
        <v>8</v>
      </c>
      <c r="U331" s="9">
        <v>0</v>
      </c>
      <c r="V331" s="69">
        <f>ROUND(T331*U331,2)</f>
        <v>0</v>
      </c>
    </row>
    <row r="332" spans="1:22" ht="1.2" customHeight="1" x14ac:dyDescent="0.3">
      <c r="A332" s="70"/>
      <c r="B332" s="70"/>
      <c r="C332" s="70"/>
      <c r="D332" s="71"/>
      <c r="E332" s="72"/>
      <c r="F332" s="73"/>
      <c r="G332" s="73"/>
      <c r="H332" s="73"/>
      <c r="I332" s="73"/>
      <c r="J332" s="73"/>
      <c r="K332" s="73"/>
      <c r="L332" s="73"/>
      <c r="M332" s="74"/>
      <c r="N332" s="72"/>
      <c r="O332" s="73"/>
      <c r="P332" s="73"/>
      <c r="Q332" s="73"/>
      <c r="R332" s="73"/>
      <c r="S332" s="73"/>
      <c r="T332" s="73"/>
      <c r="U332" s="11"/>
      <c r="V332" s="74"/>
    </row>
    <row r="333" spans="1:22" x14ac:dyDescent="0.3">
      <c r="A333" s="54" t="s">
        <v>321</v>
      </c>
      <c r="B333" s="55" t="s">
        <v>32</v>
      </c>
      <c r="C333" s="55" t="s">
        <v>185</v>
      </c>
      <c r="D333" s="56" t="s">
        <v>322</v>
      </c>
      <c r="E333" s="57"/>
      <c r="F333" s="58"/>
      <c r="G333" s="58"/>
      <c r="H333" s="58"/>
      <c r="I333" s="58"/>
      <c r="J333" s="58"/>
      <c r="K333" s="59">
        <f>K336</f>
        <v>3</v>
      </c>
      <c r="L333" s="59">
        <f>L336</f>
        <v>13.63</v>
      </c>
      <c r="M333" s="60">
        <f>M336</f>
        <v>40.89</v>
      </c>
      <c r="N333" s="57"/>
      <c r="O333" s="58"/>
      <c r="P333" s="58"/>
      <c r="Q333" s="58"/>
      <c r="R333" s="58"/>
      <c r="S333" s="58"/>
      <c r="T333" s="59">
        <f>T336</f>
        <v>3</v>
      </c>
      <c r="U333" s="8">
        <f>U336</f>
        <v>0</v>
      </c>
      <c r="V333" s="60">
        <f>V336</f>
        <v>0</v>
      </c>
    </row>
    <row r="334" spans="1:22" ht="81.599999999999994" x14ac:dyDescent="0.3">
      <c r="A334" s="61"/>
      <c r="B334" s="61"/>
      <c r="C334" s="61"/>
      <c r="D334" s="56" t="s">
        <v>323</v>
      </c>
      <c r="E334" s="57"/>
      <c r="F334" s="58"/>
      <c r="G334" s="58"/>
      <c r="H334" s="58"/>
      <c r="I334" s="58"/>
      <c r="J334" s="58"/>
      <c r="K334" s="58"/>
      <c r="L334" s="58"/>
      <c r="M334" s="62"/>
      <c r="N334" s="57"/>
      <c r="O334" s="58"/>
      <c r="P334" s="58"/>
      <c r="Q334" s="58"/>
      <c r="R334" s="58"/>
      <c r="S334" s="58"/>
      <c r="T334" s="58"/>
      <c r="U334" s="7"/>
      <c r="V334" s="62"/>
    </row>
    <row r="335" spans="1:22" x14ac:dyDescent="0.3">
      <c r="A335" s="61"/>
      <c r="B335" s="61"/>
      <c r="C335" s="61"/>
      <c r="D335" s="63"/>
      <c r="E335" s="64" t="s">
        <v>17</v>
      </c>
      <c r="F335" s="65">
        <v>3</v>
      </c>
      <c r="G335" s="66">
        <v>0</v>
      </c>
      <c r="H335" s="66">
        <v>0</v>
      </c>
      <c r="I335" s="66">
        <v>0</v>
      </c>
      <c r="J335" s="59">
        <f>OR(F335&lt;&gt;0,G335&lt;&gt;0,H335&lt;&gt;0,I335&lt;&gt;0)*(F335 + (F335 = 0))*(G335 + (G335 = 0))*(H335 + (H335 = 0))*(I335 + (I335 = 0))</f>
        <v>3</v>
      </c>
      <c r="K335" s="58"/>
      <c r="L335" s="58"/>
      <c r="M335" s="62"/>
      <c r="N335" s="64" t="s">
        <v>17</v>
      </c>
      <c r="O335" s="65">
        <v>3</v>
      </c>
      <c r="P335" s="66">
        <v>0</v>
      </c>
      <c r="Q335" s="66">
        <v>0</v>
      </c>
      <c r="R335" s="66">
        <v>0</v>
      </c>
      <c r="S335" s="59">
        <f>OR(O335&lt;&gt;0,P335&lt;&gt;0,Q335&lt;&gt;0,R335&lt;&gt;0)*(O335 + (O335 = 0))*(P335 + (P335 = 0))*(Q335 + (Q335 = 0))*(R335 + (R335 = 0))</f>
        <v>3</v>
      </c>
      <c r="T335" s="58"/>
      <c r="U335" s="7"/>
      <c r="V335" s="62"/>
    </row>
    <row r="336" spans="1:22" x14ac:dyDescent="0.3">
      <c r="A336" s="61"/>
      <c r="B336" s="61"/>
      <c r="C336" s="61"/>
      <c r="D336" s="63"/>
      <c r="E336" s="57"/>
      <c r="F336" s="58"/>
      <c r="G336" s="58"/>
      <c r="H336" s="58"/>
      <c r="I336" s="58"/>
      <c r="J336" s="67" t="s">
        <v>324</v>
      </c>
      <c r="K336" s="68">
        <f>J335*1</f>
        <v>3</v>
      </c>
      <c r="L336" s="66">
        <f>12.86*1.06</f>
        <v>13.63</v>
      </c>
      <c r="M336" s="69">
        <f>ROUND(K336*L336,2)</f>
        <v>40.89</v>
      </c>
      <c r="N336" s="57"/>
      <c r="O336" s="58"/>
      <c r="P336" s="58"/>
      <c r="Q336" s="58"/>
      <c r="R336" s="58"/>
      <c r="S336" s="67" t="s">
        <v>324</v>
      </c>
      <c r="T336" s="68">
        <f>S335*1</f>
        <v>3</v>
      </c>
      <c r="U336" s="9">
        <v>0</v>
      </c>
      <c r="V336" s="69">
        <f>ROUND(T336*U336,2)</f>
        <v>0</v>
      </c>
    </row>
    <row r="337" spans="1:22" ht="1.2" customHeight="1" x14ac:dyDescent="0.3">
      <c r="A337" s="70"/>
      <c r="B337" s="70"/>
      <c r="C337" s="70"/>
      <c r="D337" s="71"/>
      <c r="E337" s="72"/>
      <c r="F337" s="73"/>
      <c r="G337" s="73"/>
      <c r="H337" s="73"/>
      <c r="I337" s="73"/>
      <c r="J337" s="73"/>
      <c r="K337" s="73"/>
      <c r="L337" s="73"/>
      <c r="M337" s="74"/>
      <c r="N337" s="72"/>
      <c r="O337" s="73"/>
      <c r="P337" s="73"/>
      <c r="Q337" s="73"/>
      <c r="R337" s="73"/>
      <c r="S337" s="73"/>
      <c r="T337" s="73"/>
      <c r="U337" s="11"/>
      <c r="V337" s="74"/>
    </row>
    <row r="338" spans="1:22" x14ac:dyDescent="0.3">
      <c r="A338" s="61"/>
      <c r="B338" s="61"/>
      <c r="C338" s="61"/>
      <c r="D338" s="63"/>
      <c r="E338" s="57"/>
      <c r="F338" s="58"/>
      <c r="G338" s="58"/>
      <c r="H338" s="58"/>
      <c r="I338" s="58"/>
      <c r="J338" s="67" t="s">
        <v>325</v>
      </c>
      <c r="K338" s="66">
        <v>1</v>
      </c>
      <c r="L338" s="68">
        <f>M308+M313+M318+M323+M328+M333</f>
        <v>1892.32</v>
      </c>
      <c r="M338" s="69">
        <f>ROUND(K338*L338,2)</f>
        <v>1892.32</v>
      </c>
      <c r="N338" s="57"/>
      <c r="O338" s="58"/>
      <c r="P338" s="58"/>
      <c r="Q338" s="58"/>
      <c r="R338" s="58"/>
      <c r="S338" s="67" t="s">
        <v>325</v>
      </c>
      <c r="T338" s="66">
        <v>1</v>
      </c>
      <c r="U338" s="10">
        <f>V308+V313+V318+V323+V328+V333</f>
        <v>0</v>
      </c>
      <c r="V338" s="69">
        <f>ROUND(T338*U338,2)</f>
        <v>0</v>
      </c>
    </row>
    <row r="339" spans="1:22" ht="1.2" customHeight="1" x14ac:dyDescent="0.3">
      <c r="A339" s="70"/>
      <c r="B339" s="70"/>
      <c r="C339" s="70"/>
      <c r="D339" s="71"/>
      <c r="E339" s="72"/>
      <c r="F339" s="73"/>
      <c r="G339" s="73"/>
      <c r="H339" s="73"/>
      <c r="I339" s="73"/>
      <c r="J339" s="73"/>
      <c r="K339" s="73"/>
      <c r="L339" s="73"/>
      <c r="M339" s="74"/>
      <c r="N339" s="72"/>
      <c r="O339" s="73"/>
      <c r="P339" s="73"/>
      <c r="Q339" s="73"/>
      <c r="R339" s="73"/>
      <c r="S339" s="73"/>
      <c r="T339" s="73"/>
      <c r="U339" s="11"/>
      <c r="V339" s="74"/>
    </row>
    <row r="340" spans="1:22" x14ac:dyDescent="0.3">
      <c r="A340" s="35" t="s">
        <v>326</v>
      </c>
      <c r="B340" s="35" t="s">
        <v>16</v>
      </c>
      <c r="C340" s="35" t="s">
        <v>17</v>
      </c>
      <c r="D340" s="36" t="s">
        <v>327</v>
      </c>
      <c r="E340" s="37"/>
      <c r="F340" s="38"/>
      <c r="G340" s="38"/>
      <c r="H340" s="38"/>
      <c r="I340" s="38"/>
      <c r="J340" s="38"/>
      <c r="K340" s="41">
        <f>K351</f>
        <v>1</v>
      </c>
      <c r="L340" s="41">
        <f>L351</f>
        <v>387.9</v>
      </c>
      <c r="M340" s="40">
        <f>M351</f>
        <v>387.9</v>
      </c>
      <c r="N340" s="37"/>
      <c r="O340" s="38"/>
      <c r="P340" s="38"/>
      <c r="Q340" s="38"/>
      <c r="R340" s="38"/>
      <c r="S340" s="38"/>
      <c r="T340" s="41">
        <f>T351</f>
        <v>1</v>
      </c>
      <c r="U340" s="4">
        <f>U351</f>
        <v>0</v>
      </c>
      <c r="V340" s="40">
        <f>V351</f>
        <v>0</v>
      </c>
    </row>
    <row r="341" spans="1:22" x14ac:dyDescent="0.3">
      <c r="A341" s="54" t="s">
        <v>328</v>
      </c>
      <c r="B341" s="55" t="s">
        <v>32</v>
      </c>
      <c r="C341" s="55" t="s">
        <v>67</v>
      </c>
      <c r="D341" s="56" t="s">
        <v>329</v>
      </c>
      <c r="E341" s="57"/>
      <c r="F341" s="58"/>
      <c r="G341" s="58"/>
      <c r="H341" s="58"/>
      <c r="I341" s="58"/>
      <c r="J341" s="58"/>
      <c r="K341" s="59">
        <f>K344</f>
        <v>60</v>
      </c>
      <c r="L341" s="59">
        <f>L344</f>
        <v>5.5</v>
      </c>
      <c r="M341" s="60">
        <f>M344</f>
        <v>330</v>
      </c>
      <c r="N341" s="57"/>
      <c r="O341" s="58"/>
      <c r="P341" s="58"/>
      <c r="Q341" s="58"/>
      <c r="R341" s="58"/>
      <c r="S341" s="58"/>
      <c r="T341" s="59">
        <f>T344</f>
        <v>60</v>
      </c>
      <c r="U341" s="8">
        <f>U344</f>
        <v>0</v>
      </c>
      <c r="V341" s="60">
        <f>V344</f>
        <v>0</v>
      </c>
    </row>
    <row r="342" spans="1:22" ht="91.8" x14ac:dyDescent="0.3">
      <c r="A342" s="61"/>
      <c r="B342" s="61"/>
      <c r="C342" s="61"/>
      <c r="D342" s="56" t="s">
        <v>330</v>
      </c>
      <c r="E342" s="57"/>
      <c r="F342" s="58"/>
      <c r="G342" s="58"/>
      <c r="H342" s="58"/>
      <c r="I342" s="58"/>
      <c r="J342" s="58"/>
      <c r="K342" s="58"/>
      <c r="L342" s="58"/>
      <c r="M342" s="62"/>
      <c r="N342" s="57"/>
      <c r="O342" s="58"/>
      <c r="P342" s="58"/>
      <c r="Q342" s="58"/>
      <c r="R342" s="58"/>
      <c r="S342" s="58"/>
      <c r="T342" s="58"/>
      <c r="U342" s="7"/>
      <c r="V342" s="62"/>
    </row>
    <row r="343" spans="1:22" x14ac:dyDescent="0.3">
      <c r="A343" s="61"/>
      <c r="B343" s="61"/>
      <c r="C343" s="61"/>
      <c r="D343" s="63"/>
      <c r="E343" s="64" t="s">
        <v>17</v>
      </c>
      <c r="F343" s="65">
        <v>2</v>
      </c>
      <c r="G343" s="66">
        <v>30</v>
      </c>
      <c r="H343" s="66">
        <v>0</v>
      </c>
      <c r="I343" s="66">
        <v>0</v>
      </c>
      <c r="J343" s="59">
        <f>OR(F343&lt;&gt;0,G343&lt;&gt;0,H343&lt;&gt;0,I343&lt;&gt;0)*(F343 + (F343 = 0))*(G343 + (G343 = 0))*(H343 + (H343 = 0))*(I343 + (I343 = 0))</f>
        <v>60</v>
      </c>
      <c r="K343" s="58"/>
      <c r="L343" s="58"/>
      <c r="M343" s="62"/>
      <c r="N343" s="64" t="s">
        <v>17</v>
      </c>
      <c r="O343" s="65">
        <v>2</v>
      </c>
      <c r="P343" s="66">
        <v>30</v>
      </c>
      <c r="Q343" s="66">
        <v>0</v>
      </c>
      <c r="R343" s="66">
        <v>0</v>
      </c>
      <c r="S343" s="59">
        <f>OR(O343&lt;&gt;0,P343&lt;&gt;0,Q343&lt;&gt;0,R343&lt;&gt;0)*(O343 + (O343 = 0))*(P343 + (P343 = 0))*(Q343 + (Q343 = 0))*(R343 + (R343 = 0))</f>
        <v>60</v>
      </c>
      <c r="T343" s="58"/>
      <c r="U343" s="7"/>
      <c r="V343" s="62"/>
    </row>
    <row r="344" spans="1:22" x14ac:dyDescent="0.3">
      <c r="A344" s="61"/>
      <c r="B344" s="61"/>
      <c r="C344" s="61"/>
      <c r="D344" s="63"/>
      <c r="E344" s="57"/>
      <c r="F344" s="58"/>
      <c r="G344" s="58"/>
      <c r="H344" s="58"/>
      <c r="I344" s="58"/>
      <c r="J344" s="67" t="s">
        <v>331</v>
      </c>
      <c r="K344" s="68">
        <f>J343*1</f>
        <v>60</v>
      </c>
      <c r="L344" s="66">
        <f>5.19*1.06</f>
        <v>5.5</v>
      </c>
      <c r="M344" s="69">
        <f>ROUND(K344*L344,2)</f>
        <v>330</v>
      </c>
      <c r="N344" s="57"/>
      <c r="O344" s="58"/>
      <c r="P344" s="58"/>
      <c r="Q344" s="58"/>
      <c r="R344" s="58"/>
      <c r="S344" s="67" t="s">
        <v>331</v>
      </c>
      <c r="T344" s="68">
        <f>S343*1</f>
        <v>60</v>
      </c>
      <c r="U344" s="9">
        <v>0</v>
      </c>
      <c r="V344" s="69">
        <f>ROUND(T344*U344,2)</f>
        <v>0</v>
      </c>
    </row>
    <row r="345" spans="1:22" ht="1.2" customHeight="1" x14ac:dyDescent="0.3">
      <c r="A345" s="70"/>
      <c r="B345" s="70"/>
      <c r="C345" s="70"/>
      <c r="D345" s="71"/>
      <c r="E345" s="72"/>
      <c r="F345" s="73"/>
      <c r="G345" s="73"/>
      <c r="H345" s="73"/>
      <c r="I345" s="73"/>
      <c r="J345" s="73"/>
      <c r="K345" s="73"/>
      <c r="L345" s="73"/>
      <c r="M345" s="74"/>
      <c r="N345" s="72"/>
      <c r="O345" s="73"/>
      <c r="P345" s="73"/>
      <c r="Q345" s="73"/>
      <c r="R345" s="73"/>
      <c r="S345" s="73"/>
      <c r="T345" s="73"/>
      <c r="U345" s="11"/>
      <c r="V345" s="74"/>
    </row>
    <row r="346" spans="1:22" x14ac:dyDescent="0.3">
      <c r="A346" s="54" t="s">
        <v>332</v>
      </c>
      <c r="B346" s="55" t="s">
        <v>32</v>
      </c>
      <c r="C346" s="55" t="s">
        <v>185</v>
      </c>
      <c r="D346" s="56" t="s">
        <v>333</v>
      </c>
      <c r="E346" s="57"/>
      <c r="F346" s="58"/>
      <c r="G346" s="58"/>
      <c r="H346" s="58"/>
      <c r="I346" s="58"/>
      <c r="J346" s="58"/>
      <c r="K346" s="59">
        <f>K349</f>
        <v>1</v>
      </c>
      <c r="L346" s="59">
        <f>L349</f>
        <v>57.9</v>
      </c>
      <c r="M346" s="60">
        <f>M349</f>
        <v>57.9</v>
      </c>
      <c r="N346" s="57"/>
      <c r="O346" s="58"/>
      <c r="P346" s="58"/>
      <c r="Q346" s="58"/>
      <c r="R346" s="58"/>
      <c r="S346" s="58"/>
      <c r="T346" s="59">
        <f>T349</f>
        <v>1</v>
      </c>
      <c r="U346" s="8">
        <f>U349</f>
        <v>0</v>
      </c>
      <c r="V346" s="60">
        <f>V349</f>
        <v>0</v>
      </c>
    </row>
    <row r="347" spans="1:22" ht="51" x14ac:dyDescent="0.3">
      <c r="A347" s="61"/>
      <c r="B347" s="61"/>
      <c r="C347" s="61"/>
      <c r="D347" s="56" t="s">
        <v>334</v>
      </c>
      <c r="E347" s="57"/>
      <c r="F347" s="58"/>
      <c r="G347" s="58"/>
      <c r="H347" s="58"/>
      <c r="I347" s="58"/>
      <c r="J347" s="58"/>
      <c r="K347" s="58"/>
      <c r="L347" s="58"/>
      <c r="M347" s="62"/>
      <c r="N347" s="57"/>
      <c r="O347" s="58"/>
      <c r="P347" s="58"/>
      <c r="Q347" s="58"/>
      <c r="R347" s="58"/>
      <c r="S347" s="58"/>
      <c r="T347" s="58"/>
      <c r="U347" s="7"/>
      <c r="V347" s="62"/>
    </row>
    <row r="348" spans="1:22" x14ac:dyDescent="0.3">
      <c r="A348" s="61"/>
      <c r="B348" s="61"/>
      <c r="C348" s="61"/>
      <c r="D348" s="63"/>
      <c r="E348" s="64" t="s">
        <v>17</v>
      </c>
      <c r="F348" s="65">
        <v>1</v>
      </c>
      <c r="G348" s="66">
        <v>0</v>
      </c>
      <c r="H348" s="66">
        <v>0</v>
      </c>
      <c r="I348" s="66">
        <v>0</v>
      </c>
      <c r="J348" s="59">
        <f>OR(F348&lt;&gt;0,G348&lt;&gt;0,H348&lt;&gt;0,I348&lt;&gt;0)*(F348 + (F348 = 0))*(G348 + (G348 = 0))*(H348 + (H348 = 0))*(I348 + (I348 = 0))</f>
        <v>1</v>
      </c>
      <c r="K348" s="58"/>
      <c r="L348" s="58"/>
      <c r="M348" s="62"/>
      <c r="N348" s="64" t="s">
        <v>17</v>
      </c>
      <c r="O348" s="65">
        <v>1</v>
      </c>
      <c r="P348" s="66">
        <v>0</v>
      </c>
      <c r="Q348" s="66">
        <v>0</v>
      </c>
      <c r="R348" s="66">
        <v>0</v>
      </c>
      <c r="S348" s="59">
        <f>OR(O348&lt;&gt;0,P348&lt;&gt;0,Q348&lt;&gt;0,R348&lt;&gt;0)*(O348 + (O348 = 0))*(P348 + (P348 = 0))*(Q348 + (Q348 = 0))*(R348 + (R348 = 0))</f>
        <v>1</v>
      </c>
      <c r="T348" s="58"/>
      <c r="U348" s="7"/>
      <c r="V348" s="62"/>
    </row>
    <row r="349" spans="1:22" x14ac:dyDescent="0.3">
      <c r="A349" s="61"/>
      <c r="B349" s="61"/>
      <c r="C349" s="61"/>
      <c r="D349" s="63"/>
      <c r="E349" s="57"/>
      <c r="F349" s="58"/>
      <c r="G349" s="58"/>
      <c r="H349" s="58"/>
      <c r="I349" s="58"/>
      <c r="J349" s="67" t="s">
        <v>335</v>
      </c>
      <c r="K349" s="68">
        <f>J348*1</f>
        <v>1</v>
      </c>
      <c r="L349" s="66">
        <f>54.62*1.06</f>
        <v>57.9</v>
      </c>
      <c r="M349" s="69">
        <f>ROUND(K349*L349,2)</f>
        <v>57.9</v>
      </c>
      <c r="N349" s="57"/>
      <c r="O349" s="58"/>
      <c r="P349" s="58"/>
      <c r="Q349" s="58"/>
      <c r="R349" s="58"/>
      <c r="S349" s="67" t="s">
        <v>335</v>
      </c>
      <c r="T349" s="68">
        <f>S348*1</f>
        <v>1</v>
      </c>
      <c r="U349" s="9">
        <v>0</v>
      </c>
      <c r="V349" s="69">
        <f>ROUND(T349*U349,2)</f>
        <v>0</v>
      </c>
    </row>
    <row r="350" spans="1:22" ht="1.2" customHeight="1" x14ac:dyDescent="0.3">
      <c r="A350" s="70"/>
      <c r="B350" s="70"/>
      <c r="C350" s="70"/>
      <c r="D350" s="71"/>
      <c r="E350" s="72"/>
      <c r="F350" s="73"/>
      <c r="G350" s="73"/>
      <c r="H350" s="73"/>
      <c r="I350" s="73"/>
      <c r="J350" s="73"/>
      <c r="K350" s="73"/>
      <c r="L350" s="73"/>
      <c r="M350" s="74"/>
      <c r="N350" s="72"/>
      <c r="O350" s="73"/>
      <c r="P350" s="73"/>
      <c r="Q350" s="73"/>
      <c r="R350" s="73"/>
      <c r="S350" s="73"/>
      <c r="T350" s="73"/>
      <c r="U350" s="11"/>
      <c r="V350" s="74"/>
    </row>
    <row r="351" spans="1:22" x14ac:dyDescent="0.3">
      <c r="A351" s="61"/>
      <c r="B351" s="61"/>
      <c r="C351" s="61"/>
      <c r="D351" s="63"/>
      <c r="E351" s="57"/>
      <c r="F351" s="58"/>
      <c r="G351" s="58"/>
      <c r="H351" s="58"/>
      <c r="I351" s="58"/>
      <c r="J351" s="67" t="s">
        <v>336</v>
      </c>
      <c r="K351" s="66">
        <v>1</v>
      </c>
      <c r="L351" s="68">
        <f>M341+M346</f>
        <v>387.9</v>
      </c>
      <c r="M351" s="69">
        <f>ROUND(K351*L351,2)</f>
        <v>387.9</v>
      </c>
      <c r="N351" s="57"/>
      <c r="O351" s="58"/>
      <c r="P351" s="58"/>
      <c r="Q351" s="58"/>
      <c r="R351" s="58"/>
      <c r="S351" s="67" t="s">
        <v>336</v>
      </c>
      <c r="T351" s="66">
        <v>1</v>
      </c>
      <c r="U351" s="10">
        <f>V341+V346</f>
        <v>0</v>
      </c>
      <c r="V351" s="69">
        <f>ROUND(T351*U351,2)</f>
        <v>0</v>
      </c>
    </row>
    <row r="352" spans="1:22" ht="1.2" customHeight="1" x14ac:dyDescent="0.3">
      <c r="A352" s="70"/>
      <c r="B352" s="70"/>
      <c r="C352" s="70"/>
      <c r="D352" s="71"/>
      <c r="E352" s="72"/>
      <c r="F352" s="73"/>
      <c r="G352" s="73"/>
      <c r="H352" s="73"/>
      <c r="I352" s="73"/>
      <c r="J352" s="73"/>
      <c r="K352" s="73"/>
      <c r="L352" s="73"/>
      <c r="M352" s="74"/>
      <c r="N352" s="72"/>
      <c r="O352" s="73"/>
      <c r="P352" s="73"/>
      <c r="Q352" s="73"/>
      <c r="R352" s="73"/>
      <c r="S352" s="73"/>
      <c r="T352" s="73"/>
      <c r="U352" s="11"/>
      <c r="V352" s="74"/>
    </row>
    <row r="353" spans="1:22" x14ac:dyDescent="0.3">
      <c r="A353" s="35" t="s">
        <v>337</v>
      </c>
      <c r="B353" s="35" t="s">
        <v>16</v>
      </c>
      <c r="C353" s="35" t="s">
        <v>17</v>
      </c>
      <c r="D353" s="36" t="s">
        <v>338</v>
      </c>
      <c r="E353" s="37"/>
      <c r="F353" s="38"/>
      <c r="G353" s="38"/>
      <c r="H353" s="38"/>
      <c r="I353" s="38"/>
      <c r="J353" s="38"/>
      <c r="K353" s="41">
        <f>K359</f>
        <v>1</v>
      </c>
      <c r="L353" s="41">
        <f>L359</f>
        <v>294.54000000000002</v>
      </c>
      <c r="M353" s="40">
        <f>M359</f>
        <v>294.54000000000002</v>
      </c>
      <c r="N353" s="37"/>
      <c r="O353" s="38"/>
      <c r="P353" s="38"/>
      <c r="Q353" s="38"/>
      <c r="R353" s="38"/>
      <c r="S353" s="38"/>
      <c r="T353" s="41">
        <f>T359</f>
        <v>1</v>
      </c>
      <c r="U353" s="4">
        <f>U359</f>
        <v>0</v>
      </c>
      <c r="V353" s="40">
        <f>V359</f>
        <v>0</v>
      </c>
    </row>
    <row r="354" spans="1:22" x14ac:dyDescent="0.3">
      <c r="A354" s="54" t="s">
        <v>339</v>
      </c>
      <c r="B354" s="55" t="s">
        <v>32</v>
      </c>
      <c r="C354" s="55" t="s">
        <v>185</v>
      </c>
      <c r="D354" s="56" t="s">
        <v>340</v>
      </c>
      <c r="E354" s="57"/>
      <c r="F354" s="58"/>
      <c r="G354" s="58"/>
      <c r="H354" s="58"/>
      <c r="I354" s="58"/>
      <c r="J354" s="58"/>
      <c r="K354" s="59">
        <f>K357</f>
        <v>6</v>
      </c>
      <c r="L354" s="59">
        <f>L357</f>
        <v>49.09</v>
      </c>
      <c r="M354" s="60">
        <f>M357</f>
        <v>294.54000000000002</v>
      </c>
      <c r="N354" s="57"/>
      <c r="O354" s="58"/>
      <c r="P354" s="58"/>
      <c r="Q354" s="58"/>
      <c r="R354" s="58"/>
      <c r="S354" s="58"/>
      <c r="T354" s="59">
        <f>T357</f>
        <v>6</v>
      </c>
      <c r="U354" s="8">
        <f>U357</f>
        <v>0</v>
      </c>
      <c r="V354" s="60">
        <f>V357</f>
        <v>0</v>
      </c>
    </row>
    <row r="355" spans="1:22" ht="61.2" x14ac:dyDescent="0.3">
      <c r="A355" s="61"/>
      <c r="B355" s="61"/>
      <c r="C355" s="61"/>
      <c r="D355" s="56" t="s">
        <v>341</v>
      </c>
      <c r="E355" s="57"/>
      <c r="F355" s="58"/>
      <c r="G355" s="58"/>
      <c r="H355" s="58"/>
      <c r="I355" s="58"/>
      <c r="J355" s="58"/>
      <c r="K355" s="58"/>
      <c r="L355" s="58"/>
      <c r="M355" s="62"/>
      <c r="N355" s="57"/>
      <c r="O355" s="58"/>
      <c r="P355" s="58"/>
      <c r="Q355" s="58"/>
      <c r="R355" s="58"/>
      <c r="S355" s="58"/>
      <c r="T355" s="58"/>
      <c r="U355" s="7"/>
      <c r="V355" s="62"/>
    </row>
    <row r="356" spans="1:22" x14ac:dyDescent="0.3">
      <c r="A356" s="61"/>
      <c r="B356" s="61"/>
      <c r="C356" s="61"/>
      <c r="D356" s="63"/>
      <c r="E356" s="64" t="s">
        <v>17</v>
      </c>
      <c r="F356" s="65">
        <v>6</v>
      </c>
      <c r="G356" s="66">
        <v>0</v>
      </c>
      <c r="H356" s="66">
        <v>0</v>
      </c>
      <c r="I356" s="66">
        <v>0</v>
      </c>
      <c r="J356" s="59">
        <f>OR(F356&lt;&gt;0,G356&lt;&gt;0,H356&lt;&gt;0,I356&lt;&gt;0)*(F356 + (F356 = 0))*(G356 + (G356 = 0))*(H356 + (H356 = 0))*(I356 + (I356 = 0))</f>
        <v>6</v>
      </c>
      <c r="K356" s="58"/>
      <c r="L356" s="58"/>
      <c r="M356" s="62"/>
      <c r="N356" s="64" t="s">
        <v>17</v>
      </c>
      <c r="O356" s="65">
        <v>6</v>
      </c>
      <c r="P356" s="66">
        <v>0</v>
      </c>
      <c r="Q356" s="66">
        <v>0</v>
      </c>
      <c r="R356" s="66">
        <v>0</v>
      </c>
      <c r="S356" s="59">
        <f>OR(O356&lt;&gt;0,P356&lt;&gt;0,Q356&lt;&gt;0,R356&lt;&gt;0)*(O356 + (O356 = 0))*(P356 + (P356 = 0))*(Q356 + (Q356 = 0))*(R356 + (R356 = 0))</f>
        <v>6</v>
      </c>
      <c r="T356" s="58"/>
      <c r="U356" s="7"/>
      <c r="V356" s="62"/>
    </row>
    <row r="357" spans="1:22" x14ac:dyDescent="0.3">
      <c r="A357" s="61"/>
      <c r="B357" s="61"/>
      <c r="C357" s="61"/>
      <c r="D357" s="63"/>
      <c r="E357" s="57"/>
      <c r="F357" s="58"/>
      <c r="G357" s="58"/>
      <c r="H357" s="58"/>
      <c r="I357" s="58"/>
      <c r="J357" s="67" t="s">
        <v>342</v>
      </c>
      <c r="K357" s="68">
        <f>J356*1</f>
        <v>6</v>
      </c>
      <c r="L357" s="66">
        <f>46.31*1.06</f>
        <v>49.09</v>
      </c>
      <c r="M357" s="69">
        <f>ROUND(K357*L357,2)</f>
        <v>294.54000000000002</v>
      </c>
      <c r="N357" s="57"/>
      <c r="O357" s="58"/>
      <c r="P357" s="58"/>
      <c r="Q357" s="58"/>
      <c r="R357" s="58"/>
      <c r="S357" s="67" t="s">
        <v>342</v>
      </c>
      <c r="T357" s="68">
        <f>S356*1</f>
        <v>6</v>
      </c>
      <c r="U357" s="9">
        <v>0</v>
      </c>
      <c r="V357" s="69">
        <f>ROUND(T357*U357,2)</f>
        <v>0</v>
      </c>
    </row>
    <row r="358" spans="1:22" ht="1.2" customHeight="1" x14ac:dyDescent="0.3">
      <c r="A358" s="70"/>
      <c r="B358" s="70"/>
      <c r="C358" s="70"/>
      <c r="D358" s="71"/>
      <c r="E358" s="72"/>
      <c r="F358" s="73"/>
      <c r="G358" s="73"/>
      <c r="H358" s="73"/>
      <c r="I358" s="73"/>
      <c r="J358" s="73"/>
      <c r="K358" s="73"/>
      <c r="L358" s="73"/>
      <c r="M358" s="74"/>
      <c r="N358" s="72"/>
      <c r="O358" s="73"/>
      <c r="P358" s="73"/>
      <c r="Q358" s="73"/>
      <c r="R358" s="73"/>
      <c r="S358" s="73"/>
      <c r="T358" s="73"/>
      <c r="U358" s="11"/>
      <c r="V358" s="74"/>
    </row>
    <row r="359" spans="1:22" x14ac:dyDescent="0.3">
      <c r="A359" s="61"/>
      <c r="B359" s="61"/>
      <c r="C359" s="61"/>
      <c r="D359" s="63"/>
      <c r="E359" s="57"/>
      <c r="F359" s="58"/>
      <c r="G359" s="58"/>
      <c r="H359" s="58"/>
      <c r="I359" s="58"/>
      <c r="J359" s="67" t="s">
        <v>343</v>
      </c>
      <c r="K359" s="66">
        <v>1</v>
      </c>
      <c r="L359" s="68">
        <f>M354</f>
        <v>294.54000000000002</v>
      </c>
      <c r="M359" s="69">
        <f>ROUND(K359*L359,2)</f>
        <v>294.54000000000002</v>
      </c>
      <c r="N359" s="57"/>
      <c r="O359" s="58"/>
      <c r="P359" s="58"/>
      <c r="Q359" s="58"/>
      <c r="R359" s="58"/>
      <c r="S359" s="67" t="s">
        <v>343</v>
      </c>
      <c r="T359" s="66">
        <v>1</v>
      </c>
      <c r="U359" s="10">
        <f>V354</f>
        <v>0</v>
      </c>
      <c r="V359" s="69">
        <f>ROUND(T359*U359,2)</f>
        <v>0</v>
      </c>
    </row>
    <row r="360" spans="1:22" ht="1.2" customHeight="1" x14ac:dyDescent="0.3">
      <c r="A360" s="70"/>
      <c r="B360" s="70"/>
      <c r="C360" s="70"/>
      <c r="D360" s="71"/>
      <c r="E360" s="72"/>
      <c r="F360" s="73"/>
      <c r="G360" s="73"/>
      <c r="H360" s="73"/>
      <c r="I360" s="73"/>
      <c r="J360" s="73"/>
      <c r="K360" s="73"/>
      <c r="L360" s="73"/>
      <c r="M360" s="74"/>
      <c r="N360" s="72"/>
      <c r="O360" s="73"/>
      <c r="P360" s="73"/>
      <c r="Q360" s="73"/>
      <c r="R360" s="73"/>
      <c r="S360" s="73"/>
      <c r="T360" s="73"/>
      <c r="U360" s="11"/>
      <c r="V360" s="74"/>
    </row>
    <row r="361" spans="1:22" x14ac:dyDescent="0.3">
      <c r="A361" s="35" t="s">
        <v>344</v>
      </c>
      <c r="B361" s="35" t="s">
        <v>16</v>
      </c>
      <c r="C361" s="35" t="s">
        <v>17</v>
      </c>
      <c r="D361" s="36" t="s">
        <v>345</v>
      </c>
      <c r="E361" s="37"/>
      <c r="F361" s="38"/>
      <c r="G361" s="38"/>
      <c r="H361" s="38"/>
      <c r="I361" s="38"/>
      <c r="J361" s="38"/>
      <c r="K361" s="41">
        <f>K377</f>
        <v>1</v>
      </c>
      <c r="L361" s="41">
        <f>L377</f>
        <v>5004.34</v>
      </c>
      <c r="M361" s="40">
        <f>M377</f>
        <v>5004.34</v>
      </c>
      <c r="N361" s="37"/>
      <c r="O361" s="38"/>
      <c r="P361" s="38"/>
      <c r="Q361" s="38"/>
      <c r="R361" s="38"/>
      <c r="S361" s="38"/>
      <c r="T361" s="41">
        <f>T377</f>
        <v>1</v>
      </c>
      <c r="U361" s="4">
        <f>U377</f>
        <v>0</v>
      </c>
      <c r="V361" s="40">
        <f>V377</f>
        <v>0</v>
      </c>
    </row>
    <row r="362" spans="1:22" x14ac:dyDescent="0.3">
      <c r="A362" s="54" t="s">
        <v>346</v>
      </c>
      <c r="B362" s="55" t="s">
        <v>32</v>
      </c>
      <c r="C362" s="55" t="s">
        <v>185</v>
      </c>
      <c r="D362" s="56" t="s">
        <v>347</v>
      </c>
      <c r="E362" s="57"/>
      <c r="F362" s="58"/>
      <c r="G362" s="58"/>
      <c r="H362" s="58"/>
      <c r="I362" s="58"/>
      <c r="J362" s="58"/>
      <c r="K362" s="59">
        <f>K365</f>
        <v>8</v>
      </c>
      <c r="L362" s="59">
        <f>L365</f>
        <v>240.56</v>
      </c>
      <c r="M362" s="60">
        <f>M365</f>
        <v>1924.48</v>
      </c>
      <c r="N362" s="57"/>
      <c r="O362" s="58"/>
      <c r="P362" s="58"/>
      <c r="Q362" s="58"/>
      <c r="R362" s="58"/>
      <c r="S362" s="58"/>
      <c r="T362" s="59">
        <f>T365</f>
        <v>8</v>
      </c>
      <c r="U362" s="8">
        <f>U365</f>
        <v>0</v>
      </c>
      <c r="V362" s="60">
        <f>V365</f>
        <v>0</v>
      </c>
    </row>
    <row r="363" spans="1:22" ht="30.6" x14ac:dyDescent="0.3">
      <c r="A363" s="61"/>
      <c r="B363" s="61"/>
      <c r="C363" s="61"/>
      <c r="D363" s="56" t="s">
        <v>348</v>
      </c>
      <c r="E363" s="57"/>
      <c r="F363" s="58"/>
      <c r="G363" s="58"/>
      <c r="H363" s="58"/>
      <c r="I363" s="58"/>
      <c r="J363" s="58"/>
      <c r="K363" s="58"/>
      <c r="L363" s="58"/>
      <c r="M363" s="62"/>
      <c r="N363" s="57"/>
      <c r="O363" s="58"/>
      <c r="P363" s="58"/>
      <c r="Q363" s="58"/>
      <c r="R363" s="58"/>
      <c r="S363" s="58"/>
      <c r="T363" s="58"/>
      <c r="U363" s="7"/>
      <c r="V363" s="62"/>
    </row>
    <row r="364" spans="1:22" x14ac:dyDescent="0.3">
      <c r="A364" s="61"/>
      <c r="B364" s="61"/>
      <c r="C364" s="61"/>
      <c r="D364" s="63"/>
      <c r="E364" s="64" t="s">
        <v>17</v>
      </c>
      <c r="F364" s="65">
        <v>8</v>
      </c>
      <c r="G364" s="66">
        <v>0</v>
      </c>
      <c r="H364" s="66">
        <v>0</v>
      </c>
      <c r="I364" s="66">
        <v>0</v>
      </c>
      <c r="J364" s="59">
        <f>OR(F364&lt;&gt;0,G364&lt;&gt;0,H364&lt;&gt;0,I364&lt;&gt;0)*(F364 + (F364 = 0))*(G364 + (G364 = 0))*(H364 + (H364 = 0))*(I364 + (I364 = 0))</f>
        <v>8</v>
      </c>
      <c r="K364" s="58"/>
      <c r="L364" s="58"/>
      <c r="M364" s="62"/>
      <c r="N364" s="64" t="s">
        <v>17</v>
      </c>
      <c r="O364" s="65">
        <v>8</v>
      </c>
      <c r="P364" s="66">
        <v>0</v>
      </c>
      <c r="Q364" s="66">
        <v>0</v>
      </c>
      <c r="R364" s="66">
        <v>0</v>
      </c>
      <c r="S364" s="59">
        <f>OR(O364&lt;&gt;0,P364&lt;&gt;0,Q364&lt;&gt;0,R364&lt;&gt;0)*(O364 + (O364 = 0))*(P364 + (P364 = 0))*(Q364 + (Q364 = 0))*(R364 + (R364 = 0))</f>
        <v>8</v>
      </c>
      <c r="T364" s="58"/>
      <c r="U364" s="7"/>
      <c r="V364" s="62"/>
    </row>
    <row r="365" spans="1:22" x14ac:dyDescent="0.3">
      <c r="A365" s="61"/>
      <c r="B365" s="61"/>
      <c r="C365" s="61"/>
      <c r="D365" s="63"/>
      <c r="E365" s="57"/>
      <c r="F365" s="58"/>
      <c r="G365" s="58"/>
      <c r="H365" s="58"/>
      <c r="I365" s="58"/>
      <c r="J365" s="67" t="s">
        <v>349</v>
      </c>
      <c r="K365" s="68">
        <f>J364*1</f>
        <v>8</v>
      </c>
      <c r="L365" s="66">
        <f>226.94*1.06</f>
        <v>240.56</v>
      </c>
      <c r="M365" s="69">
        <f>ROUND(K365*L365,2)</f>
        <v>1924.48</v>
      </c>
      <c r="N365" s="57"/>
      <c r="O365" s="58"/>
      <c r="P365" s="58"/>
      <c r="Q365" s="58"/>
      <c r="R365" s="58"/>
      <c r="S365" s="67" t="s">
        <v>349</v>
      </c>
      <c r="T365" s="68">
        <f>S364*1</f>
        <v>8</v>
      </c>
      <c r="U365" s="9">
        <v>0</v>
      </c>
      <c r="V365" s="69">
        <f>ROUND(T365*U365,2)</f>
        <v>0</v>
      </c>
    </row>
    <row r="366" spans="1:22" ht="1.2" customHeight="1" x14ac:dyDescent="0.3">
      <c r="A366" s="70"/>
      <c r="B366" s="70"/>
      <c r="C366" s="70"/>
      <c r="D366" s="71"/>
      <c r="E366" s="72"/>
      <c r="F366" s="73"/>
      <c r="G366" s="73"/>
      <c r="H366" s="73"/>
      <c r="I366" s="73"/>
      <c r="J366" s="73"/>
      <c r="K366" s="73"/>
      <c r="L366" s="73"/>
      <c r="M366" s="74"/>
      <c r="N366" s="72"/>
      <c r="O366" s="73"/>
      <c r="P366" s="73"/>
      <c r="Q366" s="73"/>
      <c r="R366" s="73"/>
      <c r="S366" s="73"/>
      <c r="T366" s="73"/>
      <c r="U366" s="11"/>
      <c r="V366" s="74"/>
    </row>
    <row r="367" spans="1:22" x14ac:dyDescent="0.3">
      <c r="A367" s="54" t="s">
        <v>350</v>
      </c>
      <c r="B367" s="55" t="s">
        <v>32</v>
      </c>
      <c r="C367" s="55" t="s">
        <v>185</v>
      </c>
      <c r="D367" s="56" t="s">
        <v>351</v>
      </c>
      <c r="E367" s="57"/>
      <c r="F367" s="58"/>
      <c r="G367" s="58"/>
      <c r="H367" s="58"/>
      <c r="I367" s="58"/>
      <c r="J367" s="58"/>
      <c r="K367" s="59">
        <f>K370</f>
        <v>10</v>
      </c>
      <c r="L367" s="59">
        <f>L370</f>
        <v>167.49</v>
      </c>
      <c r="M367" s="60">
        <f>M370</f>
        <v>1674.9</v>
      </c>
      <c r="N367" s="57"/>
      <c r="O367" s="58"/>
      <c r="P367" s="58"/>
      <c r="Q367" s="58"/>
      <c r="R367" s="58"/>
      <c r="S367" s="58"/>
      <c r="T367" s="59">
        <f>T370</f>
        <v>10</v>
      </c>
      <c r="U367" s="8">
        <f>U370</f>
        <v>0</v>
      </c>
      <c r="V367" s="60">
        <f>V370</f>
        <v>0</v>
      </c>
    </row>
    <row r="368" spans="1:22" ht="40.799999999999997" x14ac:dyDescent="0.3">
      <c r="A368" s="61"/>
      <c r="B368" s="61"/>
      <c r="C368" s="61"/>
      <c r="D368" s="56" t="s">
        <v>352</v>
      </c>
      <c r="E368" s="57"/>
      <c r="F368" s="58"/>
      <c r="G368" s="58"/>
      <c r="H368" s="58"/>
      <c r="I368" s="58"/>
      <c r="J368" s="58"/>
      <c r="K368" s="58"/>
      <c r="L368" s="58"/>
      <c r="M368" s="62"/>
      <c r="N368" s="57"/>
      <c r="O368" s="58"/>
      <c r="P368" s="58"/>
      <c r="Q368" s="58"/>
      <c r="R368" s="58"/>
      <c r="S368" s="58"/>
      <c r="T368" s="58"/>
      <c r="U368" s="7"/>
      <c r="V368" s="62"/>
    </row>
    <row r="369" spans="1:22" x14ac:dyDescent="0.3">
      <c r="A369" s="61"/>
      <c r="B369" s="61"/>
      <c r="C369" s="61"/>
      <c r="D369" s="63"/>
      <c r="E369" s="64" t="s">
        <v>17</v>
      </c>
      <c r="F369" s="65">
        <v>10</v>
      </c>
      <c r="G369" s="66">
        <v>0</v>
      </c>
      <c r="H369" s="66">
        <v>0</v>
      </c>
      <c r="I369" s="66">
        <v>0</v>
      </c>
      <c r="J369" s="59">
        <f>OR(F369&lt;&gt;0,G369&lt;&gt;0,H369&lt;&gt;0,I369&lt;&gt;0)*(F369 + (F369 = 0))*(G369 + (G369 = 0))*(H369 + (H369 = 0))*(I369 + (I369 = 0))</f>
        <v>10</v>
      </c>
      <c r="K369" s="58"/>
      <c r="L369" s="58"/>
      <c r="M369" s="62"/>
      <c r="N369" s="64" t="s">
        <v>17</v>
      </c>
      <c r="O369" s="65">
        <v>10</v>
      </c>
      <c r="P369" s="66">
        <v>0</v>
      </c>
      <c r="Q369" s="66">
        <v>0</v>
      </c>
      <c r="R369" s="66">
        <v>0</v>
      </c>
      <c r="S369" s="59">
        <f>OR(O369&lt;&gt;0,P369&lt;&gt;0,Q369&lt;&gt;0,R369&lt;&gt;0)*(O369 + (O369 = 0))*(P369 + (P369 = 0))*(Q369 + (Q369 = 0))*(R369 + (R369 = 0))</f>
        <v>10</v>
      </c>
      <c r="T369" s="58"/>
      <c r="U369" s="7"/>
      <c r="V369" s="62"/>
    </row>
    <row r="370" spans="1:22" x14ac:dyDescent="0.3">
      <c r="A370" s="61"/>
      <c r="B370" s="61"/>
      <c r="C370" s="61"/>
      <c r="D370" s="63"/>
      <c r="E370" s="57"/>
      <c r="F370" s="58"/>
      <c r="G370" s="58"/>
      <c r="H370" s="58"/>
      <c r="I370" s="58"/>
      <c r="J370" s="67" t="s">
        <v>353</v>
      </c>
      <c r="K370" s="68">
        <f>J369*1</f>
        <v>10</v>
      </c>
      <c r="L370" s="66">
        <f>158.01*1.06</f>
        <v>167.49</v>
      </c>
      <c r="M370" s="69">
        <f>ROUND(K370*L370,2)</f>
        <v>1674.9</v>
      </c>
      <c r="N370" s="57"/>
      <c r="O370" s="58"/>
      <c r="P370" s="58"/>
      <c r="Q370" s="58"/>
      <c r="R370" s="58"/>
      <c r="S370" s="67" t="s">
        <v>353</v>
      </c>
      <c r="T370" s="68">
        <f>S369*1</f>
        <v>10</v>
      </c>
      <c r="U370" s="9">
        <v>0</v>
      </c>
      <c r="V370" s="69">
        <f>ROUND(T370*U370,2)</f>
        <v>0</v>
      </c>
    </row>
    <row r="371" spans="1:22" ht="1.2" customHeight="1" x14ac:dyDescent="0.3">
      <c r="A371" s="70"/>
      <c r="B371" s="70"/>
      <c r="C371" s="70"/>
      <c r="D371" s="71"/>
      <c r="E371" s="72"/>
      <c r="F371" s="73"/>
      <c r="G371" s="73"/>
      <c r="H371" s="73"/>
      <c r="I371" s="73"/>
      <c r="J371" s="73"/>
      <c r="K371" s="73"/>
      <c r="L371" s="73"/>
      <c r="M371" s="74"/>
      <c r="N371" s="72"/>
      <c r="O371" s="73"/>
      <c r="P371" s="73"/>
      <c r="Q371" s="73"/>
      <c r="R371" s="73"/>
      <c r="S371" s="73"/>
      <c r="T371" s="73"/>
      <c r="U371" s="11"/>
      <c r="V371" s="74"/>
    </row>
    <row r="372" spans="1:22" x14ac:dyDescent="0.3">
      <c r="A372" s="54" t="s">
        <v>354</v>
      </c>
      <c r="B372" s="55" t="s">
        <v>32</v>
      </c>
      <c r="C372" s="55" t="s">
        <v>185</v>
      </c>
      <c r="D372" s="56" t="s">
        <v>355</v>
      </c>
      <c r="E372" s="57"/>
      <c r="F372" s="58"/>
      <c r="G372" s="58"/>
      <c r="H372" s="58"/>
      <c r="I372" s="58"/>
      <c r="J372" s="58"/>
      <c r="K372" s="59">
        <f>K375</f>
        <v>8</v>
      </c>
      <c r="L372" s="59">
        <f>L375</f>
        <v>175.62</v>
      </c>
      <c r="M372" s="60">
        <f>M375</f>
        <v>1404.96</v>
      </c>
      <c r="N372" s="57"/>
      <c r="O372" s="58"/>
      <c r="P372" s="58"/>
      <c r="Q372" s="58"/>
      <c r="R372" s="58"/>
      <c r="S372" s="58"/>
      <c r="T372" s="59">
        <f>T375</f>
        <v>8</v>
      </c>
      <c r="U372" s="8">
        <f>U375</f>
        <v>0</v>
      </c>
      <c r="V372" s="60">
        <f>V375</f>
        <v>0</v>
      </c>
    </row>
    <row r="373" spans="1:22" ht="40.799999999999997" x14ac:dyDescent="0.3">
      <c r="A373" s="61"/>
      <c r="B373" s="61"/>
      <c r="C373" s="61"/>
      <c r="D373" s="56" t="s">
        <v>356</v>
      </c>
      <c r="E373" s="57"/>
      <c r="F373" s="58"/>
      <c r="G373" s="58"/>
      <c r="H373" s="58"/>
      <c r="I373" s="58"/>
      <c r="J373" s="58"/>
      <c r="K373" s="58"/>
      <c r="L373" s="58"/>
      <c r="M373" s="62"/>
      <c r="N373" s="57"/>
      <c r="O373" s="58"/>
      <c r="P373" s="58"/>
      <c r="Q373" s="58"/>
      <c r="R373" s="58"/>
      <c r="S373" s="58"/>
      <c r="T373" s="58"/>
      <c r="U373" s="7"/>
      <c r="V373" s="62"/>
    </row>
    <row r="374" spans="1:22" x14ac:dyDescent="0.3">
      <c r="A374" s="61"/>
      <c r="B374" s="61"/>
      <c r="C374" s="61"/>
      <c r="D374" s="63"/>
      <c r="E374" s="64" t="s">
        <v>17</v>
      </c>
      <c r="F374" s="65">
        <v>8</v>
      </c>
      <c r="G374" s="66">
        <v>0</v>
      </c>
      <c r="H374" s="66">
        <v>0</v>
      </c>
      <c r="I374" s="66">
        <v>0</v>
      </c>
      <c r="J374" s="59">
        <f>OR(F374&lt;&gt;0,G374&lt;&gt;0,H374&lt;&gt;0,I374&lt;&gt;0)*(F374 + (F374 = 0))*(G374 + (G374 = 0))*(H374 + (H374 = 0))*(I374 + (I374 = 0))</f>
        <v>8</v>
      </c>
      <c r="K374" s="58"/>
      <c r="L374" s="58"/>
      <c r="M374" s="62"/>
      <c r="N374" s="64" t="s">
        <v>17</v>
      </c>
      <c r="O374" s="65">
        <v>8</v>
      </c>
      <c r="P374" s="66">
        <v>0</v>
      </c>
      <c r="Q374" s="66">
        <v>0</v>
      </c>
      <c r="R374" s="66">
        <v>0</v>
      </c>
      <c r="S374" s="59">
        <f>OR(O374&lt;&gt;0,P374&lt;&gt;0,Q374&lt;&gt;0,R374&lt;&gt;0)*(O374 + (O374 = 0))*(P374 + (P374 = 0))*(Q374 + (Q374 = 0))*(R374 + (R374 = 0))</f>
        <v>8</v>
      </c>
      <c r="T374" s="58"/>
      <c r="U374" s="7"/>
      <c r="V374" s="62"/>
    </row>
    <row r="375" spans="1:22" x14ac:dyDescent="0.3">
      <c r="A375" s="61"/>
      <c r="B375" s="61"/>
      <c r="C375" s="61"/>
      <c r="D375" s="63"/>
      <c r="E375" s="57"/>
      <c r="F375" s="58"/>
      <c r="G375" s="58"/>
      <c r="H375" s="58"/>
      <c r="I375" s="58"/>
      <c r="J375" s="67" t="s">
        <v>357</v>
      </c>
      <c r="K375" s="68">
        <f>J374*1</f>
        <v>8</v>
      </c>
      <c r="L375" s="66">
        <f>165.68*1.06</f>
        <v>175.62</v>
      </c>
      <c r="M375" s="69">
        <f>ROUND(K375*L375,2)</f>
        <v>1404.96</v>
      </c>
      <c r="N375" s="57"/>
      <c r="O375" s="58"/>
      <c r="P375" s="58"/>
      <c r="Q375" s="58"/>
      <c r="R375" s="58"/>
      <c r="S375" s="67" t="s">
        <v>357</v>
      </c>
      <c r="T375" s="68">
        <f>S374*1</f>
        <v>8</v>
      </c>
      <c r="U375" s="9">
        <v>0</v>
      </c>
      <c r="V375" s="69">
        <f>ROUND(T375*U375,2)</f>
        <v>0</v>
      </c>
    </row>
    <row r="376" spans="1:22" ht="1.2" customHeight="1" x14ac:dyDescent="0.3">
      <c r="A376" s="70"/>
      <c r="B376" s="70"/>
      <c r="C376" s="70"/>
      <c r="D376" s="71"/>
      <c r="E376" s="72"/>
      <c r="F376" s="73"/>
      <c r="G376" s="73"/>
      <c r="H376" s="73"/>
      <c r="I376" s="73"/>
      <c r="J376" s="73"/>
      <c r="K376" s="73"/>
      <c r="L376" s="73"/>
      <c r="M376" s="74"/>
      <c r="N376" s="72"/>
      <c r="O376" s="73"/>
      <c r="P376" s="73"/>
      <c r="Q376" s="73"/>
      <c r="R376" s="73"/>
      <c r="S376" s="73"/>
      <c r="T376" s="73"/>
      <c r="U376" s="11"/>
      <c r="V376" s="74"/>
    </row>
    <row r="377" spans="1:22" x14ac:dyDescent="0.3">
      <c r="A377" s="61"/>
      <c r="B377" s="61"/>
      <c r="C377" s="61"/>
      <c r="D377" s="63"/>
      <c r="E377" s="57"/>
      <c r="F377" s="58"/>
      <c r="G377" s="58"/>
      <c r="H377" s="58"/>
      <c r="I377" s="58"/>
      <c r="J377" s="67" t="s">
        <v>358</v>
      </c>
      <c r="K377" s="66">
        <v>1</v>
      </c>
      <c r="L377" s="68">
        <f>M362+M367+M372</f>
        <v>5004.34</v>
      </c>
      <c r="M377" s="69">
        <f>ROUND(K377*L377,2)</f>
        <v>5004.34</v>
      </c>
      <c r="N377" s="57"/>
      <c r="O377" s="58"/>
      <c r="P377" s="58"/>
      <c r="Q377" s="58"/>
      <c r="R377" s="58"/>
      <c r="S377" s="67" t="s">
        <v>358</v>
      </c>
      <c r="T377" s="66">
        <v>1</v>
      </c>
      <c r="U377" s="10">
        <f>V362+V367+V372</f>
        <v>0</v>
      </c>
      <c r="V377" s="69">
        <f>ROUND(T377*U377,2)</f>
        <v>0</v>
      </c>
    </row>
    <row r="378" spans="1:22" ht="1.2" customHeight="1" x14ac:dyDescent="0.3">
      <c r="A378" s="70"/>
      <c r="B378" s="70"/>
      <c r="C378" s="70"/>
      <c r="D378" s="71"/>
      <c r="E378" s="72"/>
      <c r="F378" s="73"/>
      <c r="G378" s="73"/>
      <c r="H378" s="73"/>
      <c r="I378" s="73"/>
      <c r="J378" s="73"/>
      <c r="K378" s="73"/>
      <c r="L378" s="73"/>
      <c r="M378" s="74"/>
      <c r="N378" s="72"/>
      <c r="O378" s="73"/>
      <c r="P378" s="73"/>
      <c r="Q378" s="73"/>
      <c r="R378" s="73"/>
      <c r="S378" s="73"/>
      <c r="T378" s="73"/>
      <c r="U378" s="11"/>
      <c r="V378" s="74"/>
    </row>
    <row r="379" spans="1:22" x14ac:dyDescent="0.3">
      <c r="A379" s="35" t="s">
        <v>359</v>
      </c>
      <c r="B379" s="35" t="s">
        <v>16</v>
      </c>
      <c r="C379" s="35" t="s">
        <v>17</v>
      </c>
      <c r="D379" s="36" t="s">
        <v>360</v>
      </c>
      <c r="E379" s="37"/>
      <c r="F379" s="38"/>
      <c r="G379" s="38"/>
      <c r="H379" s="38"/>
      <c r="I379" s="38"/>
      <c r="J379" s="38"/>
      <c r="K379" s="41">
        <f>K403</f>
        <v>1</v>
      </c>
      <c r="L379" s="41">
        <f>L403</f>
        <v>1779</v>
      </c>
      <c r="M379" s="40">
        <f>M403</f>
        <v>1779</v>
      </c>
      <c r="N379" s="37"/>
      <c r="O379" s="38"/>
      <c r="P379" s="38"/>
      <c r="Q379" s="38"/>
      <c r="R379" s="38"/>
      <c r="S379" s="38"/>
      <c r="T379" s="41">
        <f>T403</f>
        <v>1</v>
      </c>
      <c r="U379" s="4">
        <f>U403</f>
        <v>0</v>
      </c>
      <c r="V379" s="40">
        <f>V403</f>
        <v>0</v>
      </c>
    </row>
    <row r="380" spans="1:22" x14ac:dyDescent="0.3">
      <c r="A380" s="42" t="s">
        <v>361</v>
      </c>
      <c r="B380" s="42" t="s">
        <v>16</v>
      </c>
      <c r="C380" s="42" t="s">
        <v>17</v>
      </c>
      <c r="D380" s="43" t="s">
        <v>362</v>
      </c>
      <c r="E380" s="44"/>
      <c r="F380" s="45"/>
      <c r="G380" s="45"/>
      <c r="H380" s="45"/>
      <c r="I380" s="45"/>
      <c r="J380" s="45"/>
      <c r="K380" s="46">
        <f>K401</f>
        <v>1</v>
      </c>
      <c r="L380" s="46">
        <f>L401</f>
        <v>1779</v>
      </c>
      <c r="M380" s="47">
        <f>M401</f>
        <v>1779</v>
      </c>
      <c r="N380" s="44"/>
      <c r="O380" s="45"/>
      <c r="P380" s="45"/>
      <c r="Q380" s="45"/>
      <c r="R380" s="45"/>
      <c r="S380" s="45"/>
      <c r="T380" s="46">
        <f>T401</f>
        <v>1</v>
      </c>
      <c r="U380" s="5">
        <f>U401</f>
        <v>0</v>
      </c>
      <c r="V380" s="47">
        <f>V401</f>
        <v>0</v>
      </c>
    </row>
    <row r="381" spans="1:22" x14ac:dyDescent="0.3">
      <c r="A381" s="54" t="s">
        <v>363</v>
      </c>
      <c r="B381" s="55" t="s">
        <v>32</v>
      </c>
      <c r="C381" s="55" t="s">
        <v>364</v>
      </c>
      <c r="D381" s="56" t="s">
        <v>365</v>
      </c>
      <c r="E381" s="57"/>
      <c r="F381" s="58"/>
      <c r="G381" s="58"/>
      <c r="H381" s="58"/>
      <c r="I381" s="58"/>
      <c r="J381" s="58"/>
      <c r="K381" s="59">
        <f>K384</f>
        <v>120</v>
      </c>
      <c r="L381" s="59">
        <f>L384</f>
        <v>8.49</v>
      </c>
      <c r="M381" s="60">
        <f>M384</f>
        <v>1018.8</v>
      </c>
      <c r="N381" s="57"/>
      <c r="O381" s="58"/>
      <c r="P381" s="58"/>
      <c r="Q381" s="58"/>
      <c r="R381" s="58"/>
      <c r="S381" s="58"/>
      <c r="T381" s="59">
        <f>T384</f>
        <v>120</v>
      </c>
      <c r="U381" s="8">
        <f>U384</f>
        <v>0</v>
      </c>
      <c r="V381" s="60">
        <f>V384</f>
        <v>0</v>
      </c>
    </row>
    <row r="382" spans="1:22" ht="71.400000000000006" x14ac:dyDescent="0.3">
      <c r="A382" s="61"/>
      <c r="B382" s="61"/>
      <c r="C382" s="61"/>
      <c r="D382" s="56" t="s">
        <v>366</v>
      </c>
      <c r="E382" s="57"/>
      <c r="F382" s="58"/>
      <c r="G382" s="58"/>
      <c r="H382" s="58"/>
      <c r="I382" s="58"/>
      <c r="J382" s="58"/>
      <c r="K382" s="58"/>
      <c r="L382" s="58"/>
      <c r="M382" s="62"/>
      <c r="N382" s="57"/>
      <c r="O382" s="58"/>
      <c r="P382" s="58"/>
      <c r="Q382" s="58"/>
      <c r="R382" s="58"/>
      <c r="S382" s="58"/>
      <c r="T382" s="58"/>
      <c r="U382" s="7"/>
      <c r="V382" s="62"/>
    </row>
    <row r="383" spans="1:22" x14ac:dyDescent="0.3">
      <c r="A383" s="61"/>
      <c r="B383" s="61"/>
      <c r="C383" s="61"/>
      <c r="D383" s="63"/>
      <c r="E383" s="64" t="s">
        <v>17</v>
      </c>
      <c r="F383" s="65">
        <v>120</v>
      </c>
      <c r="G383" s="66">
        <v>0</v>
      </c>
      <c r="H383" s="66">
        <v>0</v>
      </c>
      <c r="I383" s="66">
        <v>0</v>
      </c>
      <c r="J383" s="59">
        <f>OR(F383&lt;&gt;0,G383&lt;&gt;0,H383&lt;&gt;0,I383&lt;&gt;0)*(F383 + (F383 = 0))*(G383 + (G383 = 0))*(H383 + (H383 = 0))*(I383 + (I383 = 0))</f>
        <v>120</v>
      </c>
      <c r="K383" s="58"/>
      <c r="L383" s="58"/>
      <c r="M383" s="62"/>
      <c r="N383" s="64" t="s">
        <v>17</v>
      </c>
      <c r="O383" s="65">
        <v>120</v>
      </c>
      <c r="P383" s="66">
        <v>0</v>
      </c>
      <c r="Q383" s="66">
        <v>0</v>
      </c>
      <c r="R383" s="66">
        <v>0</v>
      </c>
      <c r="S383" s="59">
        <f>OR(O383&lt;&gt;0,P383&lt;&gt;0,Q383&lt;&gt;0,R383&lt;&gt;0)*(O383 + (O383 = 0))*(P383 + (P383 = 0))*(Q383 + (Q383 = 0))*(R383 + (R383 = 0))</f>
        <v>120</v>
      </c>
      <c r="T383" s="58"/>
      <c r="U383" s="7"/>
      <c r="V383" s="62"/>
    </row>
    <row r="384" spans="1:22" x14ac:dyDescent="0.3">
      <c r="A384" s="61"/>
      <c r="B384" s="61"/>
      <c r="C384" s="61"/>
      <c r="D384" s="63"/>
      <c r="E384" s="57"/>
      <c r="F384" s="58"/>
      <c r="G384" s="58"/>
      <c r="H384" s="58"/>
      <c r="I384" s="58"/>
      <c r="J384" s="67" t="s">
        <v>367</v>
      </c>
      <c r="K384" s="68">
        <f>J383*1</f>
        <v>120</v>
      </c>
      <c r="L384" s="66">
        <f>8.01*1.06</f>
        <v>8.49</v>
      </c>
      <c r="M384" s="69">
        <f>ROUND(K384*L384,2)</f>
        <v>1018.8</v>
      </c>
      <c r="N384" s="57"/>
      <c r="O384" s="58"/>
      <c r="P384" s="58"/>
      <c r="Q384" s="58"/>
      <c r="R384" s="58"/>
      <c r="S384" s="67" t="s">
        <v>367</v>
      </c>
      <c r="T384" s="68">
        <f>S383*1</f>
        <v>120</v>
      </c>
      <c r="U384" s="9">
        <v>0</v>
      </c>
      <c r="V384" s="69">
        <f>ROUND(T384*U384,2)</f>
        <v>0</v>
      </c>
    </row>
    <row r="385" spans="1:22" ht="1.2" customHeight="1" x14ac:dyDescent="0.3">
      <c r="A385" s="70"/>
      <c r="B385" s="70"/>
      <c r="C385" s="70"/>
      <c r="D385" s="71"/>
      <c r="E385" s="72"/>
      <c r="F385" s="73"/>
      <c r="G385" s="73"/>
      <c r="H385" s="73"/>
      <c r="I385" s="73"/>
      <c r="J385" s="73"/>
      <c r="K385" s="73"/>
      <c r="L385" s="73"/>
      <c r="M385" s="74"/>
      <c r="N385" s="72"/>
      <c r="O385" s="73"/>
      <c r="P385" s="73"/>
      <c r="Q385" s="73"/>
      <c r="R385" s="73"/>
      <c r="S385" s="73"/>
      <c r="T385" s="73"/>
      <c r="U385" s="11"/>
      <c r="V385" s="74"/>
    </row>
    <row r="386" spans="1:22" x14ac:dyDescent="0.3">
      <c r="A386" s="54" t="s">
        <v>368</v>
      </c>
      <c r="B386" s="55" t="s">
        <v>32</v>
      </c>
      <c r="C386" s="55" t="s">
        <v>364</v>
      </c>
      <c r="D386" s="56" t="s">
        <v>369</v>
      </c>
      <c r="E386" s="57"/>
      <c r="F386" s="58"/>
      <c r="G386" s="58"/>
      <c r="H386" s="58"/>
      <c r="I386" s="58"/>
      <c r="J386" s="58"/>
      <c r="K386" s="59">
        <f>K389</f>
        <v>120</v>
      </c>
      <c r="L386" s="59">
        <f>L389</f>
        <v>2.3199999999999998</v>
      </c>
      <c r="M386" s="60">
        <f>M389</f>
        <v>278.39999999999998</v>
      </c>
      <c r="N386" s="57"/>
      <c r="O386" s="58"/>
      <c r="P386" s="58"/>
      <c r="Q386" s="58"/>
      <c r="R386" s="58"/>
      <c r="S386" s="58"/>
      <c r="T386" s="59">
        <f>T389</f>
        <v>120</v>
      </c>
      <c r="U386" s="8">
        <f>U389</f>
        <v>0</v>
      </c>
      <c r="V386" s="60">
        <f>V389</f>
        <v>0</v>
      </c>
    </row>
    <row r="387" spans="1:22" ht="30.6" x14ac:dyDescent="0.3">
      <c r="A387" s="61"/>
      <c r="B387" s="61"/>
      <c r="C387" s="61"/>
      <c r="D387" s="56" t="s">
        <v>370</v>
      </c>
      <c r="E387" s="57"/>
      <c r="F387" s="58"/>
      <c r="G387" s="58"/>
      <c r="H387" s="58"/>
      <c r="I387" s="58"/>
      <c r="J387" s="58"/>
      <c r="K387" s="58"/>
      <c r="L387" s="58"/>
      <c r="M387" s="62"/>
      <c r="N387" s="57"/>
      <c r="O387" s="58"/>
      <c r="P387" s="58"/>
      <c r="Q387" s="58"/>
      <c r="R387" s="58"/>
      <c r="S387" s="58"/>
      <c r="T387" s="58"/>
      <c r="U387" s="7"/>
      <c r="V387" s="62"/>
    </row>
    <row r="388" spans="1:22" x14ac:dyDescent="0.3">
      <c r="A388" s="61"/>
      <c r="B388" s="61"/>
      <c r="C388" s="61"/>
      <c r="D388" s="63"/>
      <c r="E388" s="64" t="s">
        <v>17</v>
      </c>
      <c r="F388" s="65">
        <v>120</v>
      </c>
      <c r="G388" s="66">
        <v>0</v>
      </c>
      <c r="H388" s="66">
        <v>0</v>
      </c>
      <c r="I388" s="66">
        <v>0</v>
      </c>
      <c r="J388" s="59">
        <f>OR(F388&lt;&gt;0,G388&lt;&gt;0,H388&lt;&gt;0,I388&lt;&gt;0)*(F388 + (F388 = 0))*(G388 + (G388 = 0))*(H388 + (H388 = 0))*(I388 + (I388 = 0))</f>
        <v>120</v>
      </c>
      <c r="K388" s="58"/>
      <c r="L388" s="58"/>
      <c r="M388" s="62"/>
      <c r="N388" s="64" t="s">
        <v>17</v>
      </c>
      <c r="O388" s="65">
        <v>120</v>
      </c>
      <c r="P388" s="66">
        <v>0</v>
      </c>
      <c r="Q388" s="66">
        <v>0</v>
      </c>
      <c r="R388" s="66">
        <v>0</v>
      </c>
      <c r="S388" s="59">
        <f>OR(O388&lt;&gt;0,P388&lt;&gt;0,Q388&lt;&gt;0,R388&lt;&gt;0)*(O388 + (O388 = 0))*(P388 + (P388 = 0))*(Q388 + (Q388 = 0))*(R388 + (R388 = 0))</f>
        <v>120</v>
      </c>
      <c r="T388" s="58"/>
      <c r="U388" s="7"/>
      <c r="V388" s="62"/>
    </row>
    <row r="389" spans="1:22" x14ac:dyDescent="0.3">
      <c r="A389" s="61"/>
      <c r="B389" s="61"/>
      <c r="C389" s="61"/>
      <c r="D389" s="63"/>
      <c r="E389" s="57"/>
      <c r="F389" s="58"/>
      <c r="G389" s="58"/>
      <c r="H389" s="58"/>
      <c r="I389" s="58"/>
      <c r="J389" s="67" t="s">
        <v>371</v>
      </c>
      <c r="K389" s="68">
        <f>J388*1</f>
        <v>120</v>
      </c>
      <c r="L389" s="66">
        <f>2.19*1.06</f>
        <v>2.3199999999999998</v>
      </c>
      <c r="M389" s="69">
        <f>ROUND(K389*L389,2)</f>
        <v>278.39999999999998</v>
      </c>
      <c r="N389" s="57"/>
      <c r="O389" s="58"/>
      <c r="P389" s="58"/>
      <c r="Q389" s="58"/>
      <c r="R389" s="58"/>
      <c r="S389" s="67" t="s">
        <v>371</v>
      </c>
      <c r="T389" s="68">
        <f>S388*1</f>
        <v>120</v>
      </c>
      <c r="U389" s="9">
        <v>0</v>
      </c>
      <c r="V389" s="69">
        <f>ROUND(T389*U389,2)</f>
        <v>0</v>
      </c>
    </row>
    <row r="390" spans="1:22" ht="1.2" customHeight="1" x14ac:dyDescent="0.3">
      <c r="A390" s="70"/>
      <c r="B390" s="70"/>
      <c r="C390" s="70"/>
      <c r="D390" s="71"/>
      <c r="E390" s="72"/>
      <c r="F390" s="73"/>
      <c r="G390" s="73"/>
      <c r="H390" s="73"/>
      <c r="I390" s="73"/>
      <c r="J390" s="73"/>
      <c r="K390" s="73"/>
      <c r="L390" s="73"/>
      <c r="M390" s="74"/>
      <c r="N390" s="72"/>
      <c r="O390" s="73"/>
      <c r="P390" s="73"/>
      <c r="Q390" s="73"/>
      <c r="R390" s="73"/>
      <c r="S390" s="73"/>
      <c r="T390" s="73"/>
      <c r="U390" s="11"/>
      <c r="V390" s="74"/>
    </row>
    <row r="391" spans="1:22" x14ac:dyDescent="0.3">
      <c r="A391" s="54" t="s">
        <v>372</v>
      </c>
      <c r="B391" s="55" t="s">
        <v>32</v>
      </c>
      <c r="C391" s="55" t="s">
        <v>67</v>
      </c>
      <c r="D391" s="56" t="s">
        <v>373</v>
      </c>
      <c r="E391" s="57"/>
      <c r="F391" s="58"/>
      <c r="G391" s="58"/>
      <c r="H391" s="58"/>
      <c r="I391" s="58"/>
      <c r="J391" s="58"/>
      <c r="K391" s="59">
        <f>K394</f>
        <v>100</v>
      </c>
      <c r="L391" s="59">
        <f>L394</f>
        <v>4.17</v>
      </c>
      <c r="M391" s="60">
        <f>M394</f>
        <v>417</v>
      </c>
      <c r="N391" s="57"/>
      <c r="O391" s="58"/>
      <c r="P391" s="58"/>
      <c r="Q391" s="58"/>
      <c r="R391" s="58"/>
      <c r="S391" s="58"/>
      <c r="T391" s="59">
        <f>T394</f>
        <v>100</v>
      </c>
      <c r="U391" s="8">
        <f>U394</f>
        <v>0</v>
      </c>
      <c r="V391" s="60">
        <f>V394</f>
        <v>0</v>
      </c>
    </row>
    <row r="392" spans="1:22" ht="81.599999999999994" x14ac:dyDescent="0.3">
      <c r="A392" s="61"/>
      <c r="B392" s="61"/>
      <c r="C392" s="61"/>
      <c r="D392" s="56" t="s">
        <v>374</v>
      </c>
      <c r="E392" s="57"/>
      <c r="F392" s="58"/>
      <c r="G392" s="58"/>
      <c r="H392" s="58"/>
      <c r="I392" s="58"/>
      <c r="J392" s="58"/>
      <c r="K392" s="58"/>
      <c r="L392" s="58"/>
      <c r="M392" s="62"/>
      <c r="N392" s="57"/>
      <c r="O392" s="58"/>
      <c r="P392" s="58"/>
      <c r="Q392" s="58"/>
      <c r="R392" s="58"/>
      <c r="S392" s="58"/>
      <c r="T392" s="58"/>
      <c r="U392" s="7"/>
      <c r="V392" s="62"/>
    </row>
    <row r="393" spans="1:22" x14ac:dyDescent="0.3">
      <c r="A393" s="61"/>
      <c r="B393" s="61"/>
      <c r="C393" s="61"/>
      <c r="D393" s="63"/>
      <c r="E393" s="64" t="s">
        <v>17</v>
      </c>
      <c r="F393" s="65">
        <v>0</v>
      </c>
      <c r="G393" s="66">
        <v>100</v>
      </c>
      <c r="H393" s="66">
        <v>0</v>
      </c>
      <c r="I393" s="66">
        <v>0</v>
      </c>
      <c r="J393" s="59">
        <f>OR(F393&lt;&gt;0,G393&lt;&gt;0,H393&lt;&gt;0,I393&lt;&gt;0)*(F393 + (F393 = 0))*(G393 + (G393 = 0))*(H393 + (H393 = 0))*(I393 + (I393 = 0))</f>
        <v>100</v>
      </c>
      <c r="K393" s="58"/>
      <c r="L393" s="58"/>
      <c r="M393" s="62"/>
      <c r="N393" s="64" t="s">
        <v>17</v>
      </c>
      <c r="O393" s="65">
        <v>0</v>
      </c>
      <c r="P393" s="66">
        <v>100</v>
      </c>
      <c r="Q393" s="66">
        <v>0</v>
      </c>
      <c r="R393" s="66">
        <v>0</v>
      </c>
      <c r="S393" s="59">
        <f>OR(O393&lt;&gt;0,P393&lt;&gt;0,Q393&lt;&gt;0,R393&lt;&gt;0)*(O393 + (O393 = 0))*(P393 + (P393 = 0))*(Q393 + (Q393 = 0))*(R393 + (R393 = 0))</f>
        <v>100</v>
      </c>
      <c r="T393" s="58"/>
      <c r="U393" s="7"/>
      <c r="V393" s="62"/>
    </row>
    <row r="394" spans="1:22" x14ac:dyDescent="0.3">
      <c r="A394" s="61"/>
      <c r="B394" s="61"/>
      <c r="C394" s="61"/>
      <c r="D394" s="63"/>
      <c r="E394" s="57"/>
      <c r="F394" s="58"/>
      <c r="G394" s="58"/>
      <c r="H394" s="58"/>
      <c r="I394" s="58"/>
      <c r="J394" s="67" t="s">
        <v>375</v>
      </c>
      <c r="K394" s="68">
        <f>J393*1</f>
        <v>100</v>
      </c>
      <c r="L394" s="66">
        <f>3.93*1.06</f>
        <v>4.17</v>
      </c>
      <c r="M394" s="69">
        <f>ROUND(K394*L394,2)</f>
        <v>417</v>
      </c>
      <c r="N394" s="57"/>
      <c r="O394" s="58"/>
      <c r="P394" s="58"/>
      <c r="Q394" s="58"/>
      <c r="R394" s="58"/>
      <c r="S394" s="67" t="s">
        <v>375</v>
      </c>
      <c r="T394" s="68">
        <f>S393*1</f>
        <v>100</v>
      </c>
      <c r="U394" s="9">
        <v>0</v>
      </c>
      <c r="V394" s="69">
        <f>ROUND(T394*U394,2)</f>
        <v>0</v>
      </c>
    </row>
    <row r="395" spans="1:22" ht="1.2" customHeight="1" x14ac:dyDescent="0.3">
      <c r="A395" s="70"/>
      <c r="B395" s="70"/>
      <c r="C395" s="70"/>
      <c r="D395" s="71"/>
      <c r="E395" s="72"/>
      <c r="F395" s="73"/>
      <c r="G395" s="73"/>
      <c r="H395" s="73"/>
      <c r="I395" s="73"/>
      <c r="J395" s="73"/>
      <c r="K395" s="73"/>
      <c r="L395" s="73"/>
      <c r="M395" s="74"/>
      <c r="N395" s="72"/>
      <c r="O395" s="73"/>
      <c r="P395" s="73"/>
      <c r="Q395" s="73"/>
      <c r="R395" s="73"/>
      <c r="S395" s="73"/>
      <c r="T395" s="73"/>
      <c r="U395" s="11"/>
      <c r="V395" s="74"/>
    </row>
    <row r="396" spans="1:22" ht="20.399999999999999" x14ac:dyDescent="0.3">
      <c r="A396" s="54" t="s">
        <v>376</v>
      </c>
      <c r="B396" s="55" t="s">
        <v>32</v>
      </c>
      <c r="C396" s="55" t="s">
        <v>364</v>
      </c>
      <c r="D396" s="56" t="s">
        <v>377</v>
      </c>
      <c r="E396" s="57"/>
      <c r="F396" s="58"/>
      <c r="G396" s="58"/>
      <c r="H396" s="58"/>
      <c r="I396" s="58"/>
      <c r="J396" s="58"/>
      <c r="K396" s="59">
        <f>K399</f>
        <v>120</v>
      </c>
      <c r="L396" s="59">
        <f>L399</f>
        <v>0.54</v>
      </c>
      <c r="M396" s="60">
        <f>M399</f>
        <v>64.8</v>
      </c>
      <c r="N396" s="57"/>
      <c r="O396" s="58"/>
      <c r="P396" s="58"/>
      <c r="Q396" s="58"/>
      <c r="R396" s="58"/>
      <c r="S396" s="58"/>
      <c r="T396" s="59">
        <f>T399</f>
        <v>120</v>
      </c>
      <c r="U396" s="8">
        <f>U399</f>
        <v>0</v>
      </c>
      <c r="V396" s="60">
        <f>V399</f>
        <v>0</v>
      </c>
    </row>
    <row r="397" spans="1:22" ht="20.399999999999999" x14ac:dyDescent="0.3">
      <c r="A397" s="61"/>
      <c r="B397" s="61"/>
      <c r="C397" s="61"/>
      <c r="D397" s="56" t="s">
        <v>378</v>
      </c>
      <c r="E397" s="57"/>
      <c r="F397" s="58"/>
      <c r="G397" s="58"/>
      <c r="H397" s="58"/>
      <c r="I397" s="58"/>
      <c r="J397" s="58"/>
      <c r="K397" s="58"/>
      <c r="L397" s="58"/>
      <c r="M397" s="62"/>
      <c r="N397" s="57"/>
      <c r="O397" s="58"/>
      <c r="P397" s="58"/>
      <c r="Q397" s="58"/>
      <c r="R397" s="58"/>
      <c r="S397" s="58"/>
      <c r="T397" s="58"/>
      <c r="U397" s="7"/>
      <c r="V397" s="62"/>
    </row>
    <row r="398" spans="1:22" x14ac:dyDescent="0.3">
      <c r="A398" s="61"/>
      <c r="B398" s="61"/>
      <c r="C398" s="61"/>
      <c r="D398" s="63"/>
      <c r="E398" s="64" t="s">
        <v>17</v>
      </c>
      <c r="F398" s="65">
        <v>120</v>
      </c>
      <c r="G398" s="66">
        <v>0</v>
      </c>
      <c r="H398" s="66">
        <v>0</v>
      </c>
      <c r="I398" s="66">
        <v>0</v>
      </c>
      <c r="J398" s="59">
        <f>OR(F398&lt;&gt;0,G398&lt;&gt;0,H398&lt;&gt;0,I398&lt;&gt;0)*(F398 + (F398 = 0))*(G398 + (G398 = 0))*(H398 + (H398 = 0))*(I398 + (I398 = 0))</f>
        <v>120</v>
      </c>
      <c r="K398" s="58"/>
      <c r="L398" s="58"/>
      <c r="M398" s="62"/>
      <c r="N398" s="64" t="s">
        <v>17</v>
      </c>
      <c r="O398" s="65">
        <v>120</v>
      </c>
      <c r="P398" s="66">
        <v>0</v>
      </c>
      <c r="Q398" s="66">
        <v>0</v>
      </c>
      <c r="R398" s="66">
        <v>0</v>
      </c>
      <c r="S398" s="59">
        <f>OR(O398&lt;&gt;0,P398&lt;&gt;0,Q398&lt;&gt;0,R398&lt;&gt;0)*(O398 + (O398 = 0))*(P398 + (P398 = 0))*(Q398 + (Q398 = 0))*(R398 + (R398 = 0))</f>
        <v>120</v>
      </c>
      <c r="T398" s="58"/>
      <c r="U398" s="7"/>
      <c r="V398" s="62"/>
    </row>
    <row r="399" spans="1:22" x14ac:dyDescent="0.3">
      <c r="A399" s="61"/>
      <c r="B399" s="61"/>
      <c r="C399" s="61"/>
      <c r="D399" s="63"/>
      <c r="E399" s="57"/>
      <c r="F399" s="58"/>
      <c r="G399" s="58"/>
      <c r="H399" s="58"/>
      <c r="I399" s="58"/>
      <c r="J399" s="67" t="s">
        <v>379</v>
      </c>
      <c r="K399" s="68">
        <f>J398*1</f>
        <v>120</v>
      </c>
      <c r="L399" s="66">
        <f>0.51*1.06</f>
        <v>0.54</v>
      </c>
      <c r="M399" s="69">
        <f>ROUND(K399*L399,2)</f>
        <v>64.8</v>
      </c>
      <c r="N399" s="57"/>
      <c r="O399" s="58"/>
      <c r="P399" s="58"/>
      <c r="Q399" s="58"/>
      <c r="R399" s="58"/>
      <c r="S399" s="67" t="s">
        <v>379</v>
      </c>
      <c r="T399" s="68">
        <f>S398*1</f>
        <v>120</v>
      </c>
      <c r="U399" s="9">
        <v>0</v>
      </c>
      <c r="V399" s="69">
        <f>ROUND(T399*U399,2)</f>
        <v>0</v>
      </c>
    </row>
    <row r="400" spans="1:22" ht="1.2" customHeight="1" x14ac:dyDescent="0.3">
      <c r="A400" s="70"/>
      <c r="B400" s="70"/>
      <c r="C400" s="70"/>
      <c r="D400" s="71"/>
      <c r="E400" s="72"/>
      <c r="F400" s="73"/>
      <c r="G400" s="73"/>
      <c r="H400" s="73"/>
      <c r="I400" s="73"/>
      <c r="J400" s="73"/>
      <c r="K400" s="73"/>
      <c r="L400" s="73"/>
      <c r="M400" s="74"/>
      <c r="N400" s="72"/>
      <c r="O400" s="73"/>
      <c r="P400" s="73"/>
      <c r="Q400" s="73"/>
      <c r="R400" s="73"/>
      <c r="S400" s="73"/>
      <c r="T400" s="73"/>
      <c r="U400" s="11"/>
      <c r="V400" s="74"/>
    </row>
    <row r="401" spans="1:22" x14ac:dyDescent="0.3">
      <c r="A401" s="61"/>
      <c r="B401" s="61"/>
      <c r="C401" s="61"/>
      <c r="D401" s="63"/>
      <c r="E401" s="57"/>
      <c r="F401" s="58"/>
      <c r="G401" s="58"/>
      <c r="H401" s="58"/>
      <c r="I401" s="58"/>
      <c r="J401" s="67" t="s">
        <v>380</v>
      </c>
      <c r="K401" s="66">
        <v>1</v>
      </c>
      <c r="L401" s="68">
        <f>M381+M386+M391+M396</f>
        <v>1779</v>
      </c>
      <c r="M401" s="69">
        <f>ROUND(K401*L401,2)</f>
        <v>1779</v>
      </c>
      <c r="N401" s="57"/>
      <c r="O401" s="58"/>
      <c r="P401" s="58"/>
      <c r="Q401" s="58"/>
      <c r="R401" s="58"/>
      <c r="S401" s="67" t="s">
        <v>380</v>
      </c>
      <c r="T401" s="66">
        <v>1</v>
      </c>
      <c r="U401" s="10">
        <f>V381+V386+V391+V396</f>
        <v>0</v>
      </c>
      <c r="V401" s="69">
        <f>ROUND(T401*U401,2)</f>
        <v>0</v>
      </c>
    </row>
    <row r="402" spans="1:22" ht="1.2" customHeight="1" x14ac:dyDescent="0.3">
      <c r="A402" s="70"/>
      <c r="B402" s="70"/>
      <c r="C402" s="70"/>
      <c r="D402" s="71"/>
      <c r="E402" s="72"/>
      <c r="F402" s="73"/>
      <c r="G402" s="73"/>
      <c r="H402" s="73"/>
      <c r="I402" s="73"/>
      <c r="J402" s="73"/>
      <c r="K402" s="73"/>
      <c r="L402" s="73"/>
      <c r="M402" s="74"/>
      <c r="N402" s="72"/>
      <c r="O402" s="73"/>
      <c r="P402" s="73"/>
      <c r="Q402" s="73"/>
      <c r="R402" s="73"/>
      <c r="S402" s="73"/>
      <c r="T402" s="73"/>
      <c r="U402" s="11"/>
      <c r="V402" s="74"/>
    </row>
    <row r="403" spans="1:22" x14ac:dyDescent="0.3">
      <c r="A403" s="61"/>
      <c r="B403" s="61"/>
      <c r="C403" s="61"/>
      <c r="D403" s="63"/>
      <c r="E403" s="57"/>
      <c r="F403" s="58"/>
      <c r="G403" s="58"/>
      <c r="H403" s="58"/>
      <c r="I403" s="58"/>
      <c r="J403" s="67" t="s">
        <v>381</v>
      </c>
      <c r="K403" s="66">
        <v>1</v>
      </c>
      <c r="L403" s="68">
        <f>M380</f>
        <v>1779</v>
      </c>
      <c r="M403" s="69">
        <f>ROUND(K403*L403,2)</f>
        <v>1779</v>
      </c>
      <c r="N403" s="57"/>
      <c r="O403" s="58"/>
      <c r="P403" s="58"/>
      <c r="Q403" s="58"/>
      <c r="R403" s="58"/>
      <c r="S403" s="67" t="s">
        <v>381</v>
      </c>
      <c r="T403" s="66">
        <v>1</v>
      </c>
      <c r="U403" s="10">
        <f>V380</f>
        <v>0</v>
      </c>
      <c r="V403" s="69">
        <f>ROUND(T403*U403,2)</f>
        <v>0</v>
      </c>
    </row>
    <row r="404" spans="1:22" ht="1.2" customHeight="1" x14ac:dyDescent="0.3">
      <c r="A404" s="70"/>
      <c r="B404" s="70"/>
      <c r="C404" s="70"/>
      <c r="D404" s="71"/>
      <c r="E404" s="72"/>
      <c r="F404" s="73"/>
      <c r="G404" s="73"/>
      <c r="H404" s="73"/>
      <c r="I404" s="73"/>
      <c r="J404" s="73"/>
      <c r="K404" s="73"/>
      <c r="L404" s="73"/>
      <c r="M404" s="74"/>
      <c r="N404" s="72"/>
      <c r="O404" s="73"/>
      <c r="P404" s="73"/>
      <c r="Q404" s="73"/>
      <c r="R404" s="73"/>
      <c r="S404" s="73"/>
      <c r="T404" s="73"/>
      <c r="U404" s="11"/>
      <c r="V404" s="74"/>
    </row>
    <row r="405" spans="1:22" x14ac:dyDescent="0.3">
      <c r="A405" s="61"/>
      <c r="B405" s="61"/>
      <c r="C405" s="61"/>
      <c r="D405" s="63"/>
      <c r="E405" s="57"/>
      <c r="F405" s="58"/>
      <c r="G405" s="58"/>
      <c r="H405" s="58"/>
      <c r="I405" s="58"/>
      <c r="J405" s="67" t="s">
        <v>382</v>
      </c>
      <c r="K405" s="66">
        <v>1</v>
      </c>
      <c r="L405" s="68">
        <f>M307+M340+M353+M361+M379</f>
        <v>9358.1</v>
      </c>
      <c r="M405" s="69">
        <f>ROUND(K405*L405,2)</f>
        <v>9358.1</v>
      </c>
      <c r="N405" s="57"/>
      <c r="O405" s="58"/>
      <c r="P405" s="58"/>
      <c r="Q405" s="58"/>
      <c r="R405" s="58"/>
      <c r="S405" s="67" t="s">
        <v>382</v>
      </c>
      <c r="T405" s="66">
        <v>1</v>
      </c>
      <c r="U405" s="68">
        <f>V307+V340+V353+V361+V379</f>
        <v>0</v>
      </c>
      <c r="V405" s="69">
        <f>ROUND(T405*U405,2)</f>
        <v>0</v>
      </c>
    </row>
    <row r="406" spans="1:22" ht="1.2" customHeight="1" x14ac:dyDescent="0.3">
      <c r="A406" s="70"/>
      <c r="B406" s="70"/>
      <c r="C406" s="70"/>
      <c r="D406" s="71"/>
      <c r="E406" s="72"/>
      <c r="F406" s="73"/>
      <c r="G406" s="73"/>
      <c r="H406" s="73"/>
      <c r="I406" s="73"/>
      <c r="J406" s="73"/>
      <c r="K406" s="73"/>
      <c r="L406" s="73"/>
      <c r="M406" s="74"/>
      <c r="N406" s="72"/>
      <c r="O406" s="73"/>
      <c r="P406" s="73"/>
      <c r="Q406" s="73"/>
      <c r="R406" s="73"/>
      <c r="S406" s="73"/>
      <c r="T406" s="73"/>
      <c r="U406" s="11"/>
      <c r="V406" s="74"/>
    </row>
    <row r="407" spans="1:22" x14ac:dyDescent="0.3">
      <c r="A407" s="29" t="s">
        <v>383</v>
      </c>
      <c r="B407" s="29" t="s">
        <v>16</v>
      </c>
      <c r="C407" s="29" t="s">
        <v>17</v>
      </c>
      <c r="D407" s="30" t="s">
        <v>384</v>
      </c>
      <c r="E407" s="31"/>
      <c r="F407" s="32"/>
      <c r="G407" s="32"/>
      <c r="H407" s="32"/>
      <c r="I407" s="32"/>
      <c r="J407" s="32"/>
      <c r="K407" s="33">
        <f>K449</f>
        <v>1</v>
      </c>
      <c r="L407" s="33">
        <f>L449</f>
        <v>4323.57</v>
      </c>
      <c r="M407" s="34">
        <f>M449</f>
        <v>4323.57</v>
      </c>
      <c r="N407" s="31"/>
      <c r="O407" s="32"/>
      <c r="P407" s="32"/>
      <c r="Q407" s="32"/>
      <c r="R407" s="32"/>
      <c r="S407" s="32"/>
      <c r="T407" s="33">
        <f>T449</f>
        <v>1</v>
      </c>
      <c r="U407" s="2">
        <f>U449</f>
        <v>0</v>
      </c>
      <c r="V407" s="34">
        <f>V449</f>
        <v>0</v>
      </c>
    </row>
    <row r="408" spans="1:22" x14ac:dyDescent="0.3">
      <c r="A408" s="35" t="s">
        <v>385</v>
      </c>
      <c r="B408" s="35" t="s">
        <v>16</v>
      </c>
      <c r="C408" s="35" t="s">
        <v>17</v>
      </c>
      <c r="D408" s="36" t="s">
        <v>386</v>
      </c>
      <c r="E408" s="37"/>
      <c r="F408" s="38"/>
      <c r="G408" s="38"/>
      <c r="H408" s="38"/>
      <c r="I408" s="38"/>
      <c r="J408" s="38"/>
      <c r="K408" s="41">
        <f>K439</f>
        <v>1</v>
      </c>
      <c r="L408" s="41">
        <f>L439</f>
        <v>4323.57</v>
      </c>
      <c r="M408" s="40">
        <f>M439</f>
        <v>4323.57</v>
      </c>
      <c r="N408" s="37"/>
      <c r="O408" s="38"/>
      <c r="P408" s="38"/>
      <c r="Q408" s="38"/>
      <c r="R408" s="38"/>
      <c r="S408" s="38"/>
      <c r="T408" s="41">
        <f>T439</f>
        <v>1</v>
      </c>
      <c r="U408" s="4">
        <f>U439</f>
        <v>0</v>
      </c>
      <c r="V408" s="40">
        <f>V439</f>
        <v>0</v>
      </c>
    </row>
    <row r="409" spans="1:22" x14ac:dyDescent="0.3">
      <c r="A409" s="54" t="s">
        <v>387</v>
      </c>
      <c r="B409" s="55" t="s">
        <v>32</v>
      </c>
      <c r="C409" s="55" t="s">
        <v>44</v>
      </c>
      <c r="D409" s="56" t="s">
        <v>388</v>
      </c>
      <c r="E409" s="57"/>
      <c r="F409" s="58"/>
      <c r="G409" s="58"/>
      <c r="H409" s="58"/>
      <c r="I409" s="58"/>
      <c r="J409" s="58"/>
      <c r="K409" s="59">
        <f>K412</f>
        <v>36</v>
      </c>
      <c r="L409" s="59">
        <f>L412</f>
        <v>11.79</v>
      </c>
      <c r="M409" s="60">
        <f>M412</f>
        <v>424.44</v>
      </c>
      <c r="N409" s="57"/>
      <c r="O409" s="58"/>
      <c r="P409" s="58"/>
      <c r="Q409" s="58"/>
      <c r="R409" s="58"/>
      <c r="S409" s="58"/>
      <c r="T409" s="59">
        <f>T412</f>
        <v>36</v>
      </c>
      <c r="U409" s="8">
        <f>U412</f>
        <v>0</v>
      </c>
      <c r="V409" s="60">
        <f>V412</f>
        <v>0</v>
      </c>
    </row>
    <row r="410" spans="1:22" ht="71.400000000000006" x14ac:dyDescent="0.3">
      <c r="A410" s="61"/>
      <c r="B410" s="61"/>
      <c r="C410" s="61"/>
      <c r="D410" s="56" t="s">
        <v>389</v>
      </c>
      <c r="E410" s="57"/>
      <c r="F410" s="58"/>
      <c r="G410" s="58"/>
      <c r="H410" s="58"/>
      <c r="I410" s="58"/>
      <c r="J410" s="58"/>
      <c r="K410" s="58"/>
      <c r="L410" s="58"/>
      <c r="M410" s="62"/>
      <c r="N410" s="57"/>
      <c r="O410" s="58"/>
      <c r="P410" s="58"/>
      <c r="Q410" s="58"/>
      <c r="R410" s="58"/>
      <c r="S410" s="58"/>
      <c r="T410" s="58"/>
      <c r="U410" s="7"/>
      <c r="V410" s="62"/>
    </row>
    <row r="411" spans="1:22" x14ac:dyDescent="0.3">
      <c r="A411" s="61"/>
      <c r="B411" s="61"/>
      <c r="C411" s="61"/>
      <c r="D411" s="63"/>
      <c r="E411" s="64" t="s">
        <v>17</v>
      </c>
      <c r="F411" s="65">
        <v>1</v>
      </c>
      <c r="G411" s="66">
        <v>6</v>
      </c>
      <c r="H411" s="66">
        <v>6</v>
      </c>
      <c r="I411" s="66">
        <v>0</v>
      </c>
      <c r="J411" s="59">
        <f>OR(F411&lt;&gt;0,G411&lt;&gt;0,H411&lt;&gt;0,I411&lt;&gt;0)*(F411 + (F411 = 0))*(G411 + (G411 = 0))*(H411 + (H411 = 0))*(I411 + (I411 = 0))</f>
        <v>36</v>
      </c>
      <c r="K411" s="58"/>
      <c r="L411" s="58"/>
      <c r="M411" s="62"/>
      <c r="N411" s="64" t="s">
        <v>17</v>
      </c>
      <c r="O411" s="65">
        <v>1</v>
      </c>
      <c r="P411" s="66">
        <v>6</v>
      </c>
      <c r="Q411" s="66">
        <v>6</v>
      </c>
      <c r="R411" s="66">
        <v>0</v>
      </c>
      <c r="S411" s="59">
        <f>OR(O411&lt;&gt;0,P411&lt;&gt;0,Q411&lt;&gt;0,R411&lt;&gt;0)*(O411 + (O411 = 0))*(P411 + (P411 = 0))*(Q411 + (Q411 = 0))*(R411 + (R411 = 0))</f>
        <v>36</v>
      </c>
      <c r="T411" s="58"/>
      <c r="U411" s="7"/>
      <c r="V411" s="62"/>
    </row>
    <row r="412" spans="1:22" x14ac:dyDescent="0.3">
      <c r="A412" s="61"/>
      <c r="B412" s="61"/>
      <c r="C412" s="61"/>
      <c r="D412" s="63"/>
      <c r="E412" s="57"/>
      <c r="F412" s="58"/>
      <c r="G412" s="58"/>
      <c r="H412" s="58"/>
      <c r="I412" s="58"/>
      <c r="J412" s="67" t="s">
        <v>390</v>
      </c>
      <c r="K412" s="68">
        <f>J411*1</f>
        <v>36</v>
      </c>
      <c r="L412" s="66">
        <f>11.12*1.06</f>
        <v>11.79</v>
      </c>
      <c r="M412" s="69">
        <f>ROUND(K412*L412,2)</f>
        <v>424.44</v>
      </c>
      <c r="N412" s="57"/>
      <c r="O412" s="58"/>
      <c r="P412" s="58"/>
      <c r="Q412" s="58"/>
      <c r="R412" s="58"/>
      <c r="S412" s="67" t="s">
        <v>390</v>
      </c>
      <c r="T412" s="68">
        <f>S411*1</f>
        <v>36</v>
      </c>
      <c r="U412" s="9">
        <v>0</v>
      </c>
      <c r="V412" s="69">
        <f>ROUND(T412*U412,2)</f>
        <v>0</v>
      </c>
    </row>
    <row r="413" spans="1:22" ht="1.2" customHeight="1" x14ac:dyDescent="0.3">
      <c r="A413" s="70"/>
      <c r="B413" s="70"/>
      <c r="C413" s="70"/>
      <c r="D413" s="71"/>
      <c r="E413" s="72"/>
      <c r="F413" s="73"/>
      <c r="G413" s="73"/>
      <c r="H413" s="73"/>
      <c r="I413" s="73"/>
      <c r="J413" s="73"/>
      <c r="K413" s="73"/>
      <c r="L413" s="73"/>
      <c r="M413" s="74"/>
      <c r="N413" s="72"/>
      <c r="O413" s="73"/>
      <c r="P413" s="73"/>
      <c r="Q413" s="73"/>
      <c r="R413" s="73"/>
      <c r="S413" s="73"/>
      <c r="T413" s="73"/>
      <c r="U413" s="11"/>
      <c r="V413" s="74"/>
    </row>
    <row r="414" spans="1:22" x14ac:dyDescent="0.3">
      <c r="A414" s="54" t="s">
        <v>391</v>
      </c>
      <c r="B414" s="55" t="s">
        <v>32</v>
      </c>
      <c r="C414" s="55" t="s">
        <v>44</v>
      </c>
      <c r="D414" s="56" t="s">
        <v>392</v>
      </c>
      <c r="E414" s="57"/>
      <c r="F414" s="58"/>
      <c r="G414" s="58"/>
      <c r="H414" s="58"/>
      <c r="I414" s="58"/>
      <c r="J414" s="58"/>
      <c r="K414" s="59">
        <f>K417</f>
        <v>24</v>
      </c>
      <c r="L414" s="59">
        <f>L417</f>
        <v>25.73</v>
      </c>
      <c r="M414" s="60">
        <f>M417</f>
        <v>617.52</v>
      </c>
      <c r="N414" s="57"/>
      <c r="O414" s="58"/>
      <c r="P414" s="58"/>
      <c r="Q414" s="58"/>
      <c r="R414" s="58"/>
      <c r="S414" s="58"/>
      <c r="T414" s="59">
        <f>T417</f>
        <v>24</v>
      </c>
      <c r="U414" s="8">
        <f>U417</f>
        <v>0</v>
      </c>
      <c r="V414" s="60">
        <f>V417</f>
        <v>0</v>
      </c>
    </row>
    <row r="415" spans="1:22" ht="71.400000000000006" x14ac:dyDescent="0.3">
      <c r="A415" s="61"/>
      <c r="B415" s="61"/>
      <c r="C415" s="61"/>
      <c r="D415" s="56" t="s">
        <v>393</v>
      </c>
      <c r="E415" s="57"/>
      <c r="F415" s="58"/>
      <c r="G415" s="58"/>
      <c r="H415" s="58"/>
      <c r="I415" s="58"/>
      <c r="J415" s="58"/>
      <c r="K415" s="58"/>
      <c r="L415" s="58"/>
      <c r="M415" s="62"/>
      <c r="N415" s="57"/>
      <c r="O415" s="58"/>
      <c r="P415" s="58"/>
      <c r="Q415" s="58"/>
      <c r="R415" s="58"/>
      <c r="S415" s="58"/>
      <c r="T415" s="58"/>
      <c r="U415" s="7"/>
      <c r="V415" s="62"/>
    </row>
    <row r="416" spans="1:22" x14ac:dyDescent="0.3">
      <c r="A416" s="61"/>
      <c r="B416" s="61"/>
      <c r="C416" s="61"/>
      <c r="D416" s="63"/>
      <c r="E416" s="64" t="s">
        <v>17</v>
      </c>
      <c r="F416" s="65">
        <v>1</v>
      </c>
      <c r="G416" s="66">
        <v>4</v>
      </c>
      <c r="H416" s="66">
        <v>6</v>
      </c>
      <c r="I416" s="66">
        <v>0</v>
      </c>
      <c r="J416" s="59">
        <f>OR(F416&lt;&gt;0,G416&lt;&gt;0,H416&lt;&gt;0,I416&lt;&gt;0)*(F416 + (F416 = 0))*(G416 + (G416 = 0))*(H416 + (H416 = 0))*(I416 + (I416 = 0))</f>
        <v>24</v>
      </c>
      <c r="K416" s="58"/>
      <c r="L416" s="58"/>
      <c r="M416" s="62"/>
      <c r="N416" s="64" t="s">
        <v>17</v>
      </c>
      <c r="O416" s="65">
        <v>1</v>
      </c>
      <c r="P416" s="66">
        <v>4</v>
      </c>
      <c r="Q416" s="66">
        <v>6</v>
      </c>
      <c r="R416" s="66">
        <v>0</v>
      </c>
      <c r="S416" s="59">
        <f>OR(O416&lt;&gt;0,P416&lt;&gt;0,Q416&lt;&gt;0,R416&lt;&gt;0)*(O416 + (O416 = 0))*(P416 + (P416 = 0))*(Q416 + (Q416 = 0))*(R416 + (R416 = 0))</f>
        <v>24</v>
      </c>
      <c r="T416" s="58"/>
      <c r="U416" s="7"/>
      <c r="V416" s="62"/>
    </row>
    <row r="417" spans="1:22" x14ac:dyDescent="0.3">
      <c r="A417" s="61"/>
      <c r="B417" s="61"/>
      <c r="C417" s="61"/>
      <c r="D417" s="63"/>
      <c r="E417" s="57"/>
      <c r="F417" s="58"/>
      <c r="G417" s="58"/>
      <c r="H417" s="58"/>
      <c r="I417" s="58"/>
      <c r="J417" s="67" t="s">
        <v>394</v>
      </c>
      <c r="K417" s="68">
        <f>J416*1</f>
        <v>24</v>
      </c>
      <c r="L417" s="66">
        <f>24.27*1.06</f>
        <v>25.73</v>
      </c>
      <c r="M417" s="69">
        <f>ROUND(K417*L417,2)</f>
        <v>617.52</v>
      </c>
      <c r="N417" s="57"/>
      <c r="O417" s="58"/>
      <c r="P417" s="58"/>
      <c r="Q417" s="58"/>
      <c r="R417" s="58"/>
      <c r="S417" s="67" t="s">
        <v>394</v>
      </c>
      <c r="T417" s="68">
        <f>S416*1</f>
        <v>24</v>
      </c>
      <c r="U417" s="9">
        <v>0</v>
      </c>
      <c r="V417" s="69">
        <f>ROUND(T417*U417,2)</f>
        <v>0</v>
      </c>
    </row>
    <row r="418" spans="1:22" ht="1.2" customHeight="1" x14ac:dyDescent="0.3">
      <c r="A418" s="70"/>
      <c r="B418" s="70"/>
      <c r="C418" s="70"/>
      <c r="D418" s="71"/>
      <c r="E418" s="72"/>
      <c r="F418" s="73"/>
      <c r="G418" s="73"/>
      <c r="H418" s="73"/>
      <c r="I418" s="73"/>
      <c r="J418" s="73"/>
      <c r="K418" s="73"/>
      <c r="L418" s="73"/>
      <c r="M418" s="74"/>
      <c r="N418" s="72"/>
      <c r="O418" s="73"/>
      <c r="P418" s="73"/>
      <c r="Q418" s="73"/>
      <c r="R418" s="73"/>
      <c r="S418" s="73"/>
      <c r="T418" s="73"/>
      <c r="U418" s="11"/>
      <c r="V418" s="74"/>
    </row>
    <row r="419" spans="1:22" x14ac:dyDescent="0.3">
      <c r="A419" s="54" t="s">
        <v>395</v>
      </c>
      <c r="B419" s="55" t="s">
        <v>32</v>
      </c>
      <c r="C419" s="55" t="s">
        <v>44</v>
      </c>
      <c r="D419" s="56" t="s">
        <v>396</v>
      </c>
      <c r="E419" s="57"/>
      <c r="F419" s="58"/>
      <c r="G419" s="58"/>
      <c r="H419" s="58"/>
      <c r="I419" s="58"/>
      <c r="J419" s="58"/>
      <c r="K419" s="59">
        <f>K422</f>
        <v>24</v>
      </c>
      <c r="L419" s="59">
        <f>L422</f>
        <v>9.76</v>
      </c>
      <c r="M419" s="60">
        <f>M422</f>
        <v>234.24</v>
      </c>
      <c r="N419" s="57"/>
      <c r="O419" s="58"/>
      <c r="P419" s="58"/>
      <c r="Q419" s="58"/>
      <c r="R419" s="58"/>
      <c r="S419" s="58"/>
      <c r="T419" s="59">
        <f>T422</f>
        <v>24</v>
      </c>
      <c r="U419" s="8">
        <f>U422</f>
        <v>0</v>
      </c>
      <c r="V419" s="60">
        <f>V422</f>
        <v>0</v>
      </c>
    </row>
    <row r="420" spans="1:22" ht="71.400000000000006" x14ac:dyDescent="0.3">
      <c r="A420" s="61"/>
      <c r="B420" s="61"/>
      <c r="C420" s="61"/>
      <c r="D420" s="56" t="s">
        <v>397</v>
      </c>
      <c r="E420" s="57"/>
      <c r="F420" s="58"/>
      <c r="G420" s="58"/>
      <c r="H420" s="58"/>
      <c r="I420" s="58"/>
      <c r="J420" s="58"/>
      <c r="K420" s="58"/>
      <c r="L420" s="58"/>
      <c r="M420" s="62"/>
      <c r="N420" s="57"/>
      <c r="O420" s="58"/>
      <c r="P420" s="58"/>
      <c r="Q420" s="58"/>
      <c r="R420" s="58"/>
      <c r="S420" s="58"/>
      <c r="T420" s="58"/>
      <c r="U420" s="7"/>
      <c r="V420" s="62"/>
    </row>
    <row r="421" spans="1:22" x14ac:dyDescent="0.3">
      <c r="A421" s="61"/>
      <c r="B421" s="61"/>
      <c r="C421" s="61"/>
      <c r="D421" s="63"/>
      <c r="E421" s="64" t="s">
        <v>17</v>
      </c>
      <c r="F421" s="65">
        <v>1</v>
      </c>
      <c r="G421" s="66">
        <v>6</v>
      </c>
      <c r="H421" s="66">
        <v>4</v>
      </c>
      <c r="I421" s="66">
        <v>0</v>
      </c>
      <c r="J421" s="59">
        <f>OR(F421&lt;&gt;0,G421&lt;&gt;0,H421&lt;&gt;0,I421&lt;&gt;0)*(F421 + (F421 = 0))*(G421 + (G421 = 0))*(H421 + (H421 = 0))*(I421 + (I421 = 0))</f>
        <v>24</v>
      </c>
      <c r="K421" s="58"/>
      <c r="L421" s="58"/>
      <c r="M421" s="62"/>
      <c r="N421" s="64" t="s">
        <v>17</v>
      </c>
      <c r="O421" s="65">
        <v>1</v>
      </c>
      <c r="P421" s="66">
        <v>6</v>
      </c>
      <c r="Q421" s="66">
        <v>4</v>
      </c>
      <c r="R421" s="66">
        <v>0</v>
      </c>
      <c r="S421" s="59">
        <f>OR(O421&lt;&gt;0,P421&lt;&gt;0,Q421&lt;&gt;0,R421&lt;&gt;0)*(O421 + (O421 = 0))*(P421 + (P421 = 0))*(Q421 + (Q421 = 0))*(R421 + (R421 = 0))</f>
        <v>24</v>
      </c>
      <c r="T421" s="58"/>
      <c r="U421" s="7"/>
      <c r="V421" s="62"/>
    </row>
    <row r="422" spans="1:22" x14ac:dyDescent="0.3">
      <c r="A422" s="61"/>
      <c r="B422" s="61"/>
      <c r="C422" s="61"/>
      <c r="D422" s="63"/>
      <c r="E422" s="57"/>
      <c r="F422" s="58"/>
      <c r="G422" s="58"/>
      <c r="H422" s="58"/>
      <c r="I422" s="58"/>
      <c r="J422" s="67" t="s">
        <v>398</v>
      </c>
      <c r="K422" s="68">
        <f>J421*1</f>
        <v>24</v>
      </c>
      <c r="L422" s="66">
        <f>9.21*1.06</f>
        <v>9.76</v>
      </c>
      <c r="M422" s="69">
        <f>ROUND(K422*L422,2)</f>
        <v>234.24</v>
      </c>
      <c r="N422" s="57"/>
      <c r="O422" s="58"/>
      <c r="P422" s="58"/>
      <c r="Q422" s="58"/>
      <c r="R422" s="58"/>
      <c r="S422" s="67" t="s">
        <v>398</v>
      </c>
      <c r="T422" s="68">
        <f>S421*1</f>
        <v>24</v>
      </c>
      <c r="U422" s="9">
        <v>0</v>
      </c>
      <c r="V422" s="69">
        <f>ROUND(T422*U422,2)</f>
        <v>0</v>
      </c>
    </row>
    <row r="423" spans="1:22" ht="1.2" customHeight="1" x14ac:dyDescent="0.3">
      <c r="A423" s="70"/>
      <c r="B423" s="70"/>
      <c r="C423" s="70"/>
      <c r="D423" s="71"/>
      <c r="E423" s="72"/>
      <c r="F423" s="73"/>
      <c r="G423" s="73"/>
      <c r="H423" s="73"/>
      <c r="I423" s="73"/>
      <c r="J423" s="73"/>
      <c r="K423" s="73"/>
      <c r="L423" s="73"/>
      <c r="M423" s="74"/>
      <c r="N423" s="72"/>
      <c r="O423" s="73"/>
      <c r="P423" s="73"/>
      <c r="Q423" s="73"/>
      <c r="R423" s="73"/>
      <c r="S423" s="73"/>
      <c r="T423" s="73"/>
      <c r="U423" s="11"/>
      <c r="V423" s="74"/>
    </row>
    <row r="424" spans="1:22" x14ac:dyDescent="0.3">
      <c r="A424" s="54" t="s">
        <v>399</v>
      </c>
      <c r="B424" s="55" t="s">
        <v>32</v>
      </c>
      <c r="C424" s="55" t="s">
        <v>185</v>
      </c>
      <c r="D424" s="56" t="s">
        <v>400</v>
      </c>
      <c r="E424" s="57"/>
      <c r="F424" s="58"/>
      <c r="G424" s="58"/>
      <c r="H424" s="58"/>
      <c r="I424" s="58"/>
      <c r="J424" s="58"/>
      <c r="K424" s="59">
        <f>K427</f>
        <v>3</v>
      </c>
      <c r="L424" s="59">
        <f>L427</f>
        <v>119.47</v>
      </c>
      <c r="M424" s="60">
        <f>M427</f>
        <v>358.41</v>
      </c>
      <c r="N424" s="57"/>
      <c r="O424" s="58"/>
      <c r="P424" s="58"/>
      <c r="Q424" s="58"/>
      <c r="R424" s="58"/>
      <c r="S424" s="58"/>
      <c r="T424" s="59">
        <f>T427</f>
        <v>3</v>
      </c>
      <c r="U424" s="8">
        <f>U427</f>
        <v>0</v>
      </c>
      <c r="V424" s="60">
        <f>V427</f>
        <v>0</v>
      </c>
    </row>
    <row r="425" spans="1:22" ht="20.399999999999999" x14ac:dyDescent="0.3">
      <c r="A425" s="61"/>
      <c r="B425" s="61"/>
      <c r="C425" s="61"/>
      <c r="D425" s="56" t="s">
        <v>401</v>
      </c>
      <c r="E425" s="57"/>
      <c r="F425" s="58"/>
      <c r="G425" s="58"/>
      <c r="H425" s="58"/>
      <c r="I425" s="58"/>
      <c r="J425" s="58"/>
      <c r="K425" s="58"/>
      <c r="L425" s="58"/>
      <c r="M425" s="62"/>
      <c r="N425" s="57"/>
      <c r="O425" s="58"/>
      <c r="P425" s="58"/>
      <c r="Q425" s="58"/>
      <c r="R425" s="58"/>
      <c r="S425" s="58"/>
      <c r="T425" s="58"/>
      <c r="U425" s="7"/>
      <c r="V425" s="62"/>
    </row>
    <row r="426" spans="1:22" x14ac:dyDescent="0.3">
      <c r="A426" s="61"/>
      <c r="B426" s="61"/>
      <c r="C426" s="61"/>
      <c r="D426" s="63"/>
      <c r="E426" s="64" t="s">
        <v>17</v>
      </c>
      <c r="F426" s="65">
        <v>3</v>
      </c>
      <c r="G426" s="66">
        <v>0</v>
      </c>
      <c r="H426" s="66">
        <v>0</v>
      </c>
      <c r="I426" s="66">
        <v>0</v>
      </c>
      <c r="J426" s="59">
        <f>OR(F426&lt;&gt;0,G426&lt;&gt;0,H426&lt;&gt;0,I426&lt;&gt;0)*(F426 + (F426 = 0))*(G426 + (G426 = 0))*(H426 + (H426 = 0))*(I426 + (I426 = 0))</f>
        <v>3</v>
      </c>
      <c r="K426" s="58"/>
      <c r="L426" s="58"/>
      <c r="M426" s="62"/>
      <c r="N426" s="64" t="s">
        <v>17</v>
      </c>
      <c r="O426" s="65">
        <v>3</v>
      </c>
      <c r="P426" s="66">
        <v>0</v>
      </c>
      <c r="Q426" s="66">
        <v>0</v>
      </c>
      <c r="R426" s="66">
        <v>0</v>
      </c>
      <c r="S426" s="59">
        <f>OR(O426&lt;&gt;0,P426&lt;&gt;0,Q426&lt;&gt;0,R426&lt;&gt;0)*(O426 + (O426 = 0))*(P426 + (P426 = 0))*(Q426 + (Q426 = 0))*(R426 + (R426 = 0))</f>
        <v>3</v>
      </c>
      <c r="T426" s="58"/>
      <c r="U426" s="7"/>
      <c r="V426" s="62"/>
    </row>
    <row r="427" spans="1:22" x14ac:dyDescent="0.3">
      <c r="A427" s="61"/>
      <c r="B427" s="61"/>
      <c r="C427" s="61"/>
      <c r="D427" s="63"/>
      <c r="E427" s="57"/>
      <c r="F427" s="58"/>
      <c r="G427" s="58"/>
      <c r="H427" s="58"/>
      <c r="I427" s="58"/>
      <c r="J427" s="67" t="s">
        <v>402</v>
      </c>
      <c r="K427" s="68">
        <f>J426*1</f>
        <v>3</v>
      </c>
      <c r="L427" s="66">
        <f>112.71*1.06</f>
        <v>119.47</v>
      </c>
      <c r="M427" s="69">
        <f>ROUND(K427*L427,2)</f>
        <v>358.41</v>
      </c>
      <c r="N427" s="57"/>
      <c r="O427" s="58"/>
      <c r="P427" s="58"/>
      <c r="Q427" s="58"/>
      <c r="R427" s="58"/>
      <c r="S427" s="67" t="s">
        <v>402</v>
      </c>
      <c r="T427" s="68">
        <f>S426*1</f>
        <v>3</v>
      </c>
      <c r="U427" s="9">
        <v>0</v>
      </c>
      <c r="V427" s="69">
        <f>ROUND(T427*U427,2)</f>
        <v>0</v>
      </c>
    </row>
    <row r="428" spans="1:22" ht="1.2" customHeight="1" x14ac:dyDescent="0.3">
      <c r="A428" s="70"/>
      <c r="B428" s="70"/>
      <c r="C428" s="70"/>
      <c r="D428" s="71"/>
      <c r="E428" s="72"/>
      <c r="F428" s="73"/>
      <c r="G428" s="73"/>
      <c r="H428" s="73"/>
      <c r="I428" s="73"/>
      <c r="J428" s="73"/>
      <c r="K428" s="73"/>
      <c r="L428" s="73"/>
      <c r="M428" s="74"/>
      <c r="N428" s="72"/>
      <c r="O428" s="73"/>
      <c r="P428" s="73"/>
      <c r="Q428" s="73"/>
      <c r="R428" s="73"/>
      <c r="S428" s="73"/>
      <c r="T428" s="73"/>
      <c r="U428" s="11"/>
      <c r="V428" s="74"/>
    </row>
    <row r="429" spans="1:22" x14ac:dyDescent="0.3">
      <c r="A429" s="54" t="s">
        <v>403</v>
      </c>
      <c r="B429" s="55" t="s">
        <v>32</v>
      </c>
      <c r="C429" s="55" t="s">
        <v>185</v>
      </c>
      <c r="D429" s="56" t="s">
        <v>404</v>
      </c>
      <c r="E429" s="57"/>
      <c r="F429" s="58"/>
      <c r="G429" s="58"/>
      <c r="H429" s="58"/>
      <c r="I429" s="58"/>
      <c r="J429" s="58"/>
      <c r="K429" s="59">
        <f>K432</f>
        <v>20</v>
      </c>
      <c r="L429" s="59">
        <f>L432</f>
        <v>112.06</v>
      </c>
      <c r="M429" s="60">
        <f>M432</f>
        <v>2241.1999999999998</v>
      </c>
      <c r="N429" s="57"/>
      <c r="O429" s="58"/>
      <c r="P429" s="58"/>
      <c r="Q429" s="58"/>
      <c r="R429" s="58"/>
      <c r="S429" s="58"/>
      <c r="T429" s="59">
        <f>T432</f>
        <v>20</v>
      </c>
      <c r="U429" s="8">
        <f>U432</f>
        <v>0</v>
      </c>
      <c r="V429" s="60">
        <f>V432</f>
        <v>0</v>
      </c>
    </row>
    <row r="430" spans="1:22" ht="61.2" x14ac:dyDescent="0.3">
      <c r="A430" s="61"/>
      <c r="B430" s="61"/>
      <c r="C430" s="61"/>
      <c r="D430" s="56" t="s">
        <v>405</v>
      </c>
      <c r="E430" s="57"/>
      <c r="F430" s="58"/>
      <c r="G430" s="58"/>
      <c r="H430" s="58"/>
      <c r="I430" s="58"/>
      <c r="J430" s="58"/>
      <c r="K430" s="58"/>
      <c r="L430" s="58"/>
      <c r="M430" s="62"/>
      <c r="N430" s="57"/>
      <c r="O430" s="58"/>
      <c r="P430" s="58"/>
      <c r="Q430" s="58"/>
      <c r="R430" s="58"/>
      <c r="S430" s="58"/>
      <c r="T430" s="58"/>
      <c r="U430" s="7"/>
      <c r="V430" s="62"/>
    </row>
    <row r="431" spans="1:22" x14ac:dyDescent="0.3">
      <c r="A431" s="61"/>
      <c r="B431" s="61"/>
      <c r="C431" s="61"/>
      <c r="D431" s="63"/>
      <c r="E431" s="64" t="s">
        <v>17</v>
      </c>
      <c r="F431" s="65">
        <v>20</v>
      </c>
      <c r="G431" s="66">
        <v>0</v>
      </c>
      <c r="H431" s="66">
        <v>0</v>
      </c>
      <c r="I431" s="66">
        <v>0</v>
      </c>
      <c r="J431" s="59">
        <f>OR(F431&lt;&gt;0,G431&lt;&gt;0,H431&lt;&gt;0,I431&lt;&gt;0)*(F431 + (F431 = 0))*(G431 + (G431 = 0))*(H431 + (H431 = 0))*(I431 + (I431 = 0))</f>
        <v>20</v>
      </c>
      <c r="K431" s="58"/>
      <c r="L431" s="58"/>
      <c r="M431" s="62"/>
      <c r="N431" s="64" t="s">
        <v>17</v>
      </c>
      <c r="O431" s="65">
        <v>20</v>
      </c>
      <c r="P431" s="66">
        <v>0</v>
      </c>
      <c r="Q431" s="66">
        <v>0</v>
      </c>
      <c r="R431" s="66">
        <v>0</v>
      </c>
      <c r="S431" s="59">
        <f>OR(O431&lt;&gt;0,P431&lt;&gt;0,Q431&lt;&gt;0,R431&lt;&gt;0)*(O431 + (O431 = 0))*(P431 + (P431 = 0))*(Q431 + (Q431 = 0))*(R431 + (R431 = 0))</f>
        <v>20</v>
      </c>
      <c r="T431" s="58"/>
      <c r="U431" s="7"/>
      <c r="V431" s="62"/>
    </row>
    <row r="432" spans="1:22" x14ac:dyDescent="0.3">
      <c r="A432" s="61"/>
      <c r="B432" s="61"/>
      <c r="C432" s="61"/>
      <c r="D432" s="63"/>
      <c r="E432" s="57"/>
      <c r="F432" s="58"/>
      <c r="G432" s="58"/>
      <c r="H432" s="58"/>
      <c r="I432" s="58"/>
      <c r="J432" s="67" t="s">
        <v>406</v>
      </c>
      <c r="K432" s="68">
        <f>J431*1</f>
        <v>20</v>
      </c>
      <c r="L432" s="66">
        <f>105.72*1.06</f>
        <v>112.06</v>
      </c>
      <c r="M432" s="69">
        <f>ROUND(K432*L432,2)</f>
        <v>2241.1999999999998</v>
      </c>
      <c r="N432" s="57"/>
      <c r="O432" s="58"/>
      <c r="P432" s="58"/>
      <c r="Q432" s="58"/>
      <c r="R432" s="58"/>
      <c r="S432" s="67" t="s">
        <v>406</v>
      </c>
      <c r="T432" s="68">
        <f>S431*1</f>
        <v>20</v>
      </c>
      <c r="U432" s="9">
        <v>0</v>
      </c>
      <c r="V432" s="69">
        <f>ROUND(T432*U432,2)</f>
        <v>0</v>
      </c>
    </row>
    <row r="433" spans="1:22" ht="1.2" customHeight="1" x14ac:dyDescent="0.3">
      <c r="A433" s="70"/>
      <c r="B433" s="70"/>
      <c r="C433" s="70"/>
      <c r="D433" s="71"/>
      <c r="E433" s="72"/>
      <c r="F433" s="73"/>
      <c r="G433" s="73"/>
      <c r="H433" s="73"/>
      <c r="I433" s="73"/>
      <c r="J433" s="73"/>
      <c r="K433" s="73"/>
      <c r="L433" s="73"/>
      <c r="M433" s="74"/>
      <c r="N433" s="72"/>
      <c r="O433" s="73"/>
      <c r="P433" s="73"/>
      <c r="Q433" s="73"/>
      <c r="R433" s="73"/>
      <c r="S433" s="73"/>
      <c r="T433" s="73"/>
      <c r="U433" s="11"/>
      <c r="V433" s="74"/>
    </row>
    <row r="434" spans="1:22" x14ac:dyDescent="0.3">
      <c r="A434" s="54" t="s">
        <v>407</v>
      </c>
      <c r="B434" s="55" t="s">
        <v>32</v>
      </c>
      <c r="C434" s="55" t="s">
        <v>185</v>
      </c>
      <c r="D434" s="56" t="s">
        <v>408</v>
      </c>
      <c r="E434" s="57"/>
      <c r="F434" s="58"/>
      <c r="G434" s="58"/>
      <c r="H434" s="58"/>
      <c r="I434" s="58"/>
      <c r="J434" s="58"/>
      <c r="K434" s="59">
        <f>K437</f>
        <v>2</v>
      </c>
      <c r="L434" s="59">
        <f>L437</f>
        <v>223.88</v>
      </c>
      <c r="M434" s="60">
        <f>M437</f>
        <v>447.76</v>
      </c>
      <c r="N434" s="57"/>
      <c r="O434" s="58"/>
      <c r="P434" s="58"/>
      <c r="Q434" s="58"/>
      <c r="R434" s="58"/>
      <c r="S434" s="58"/>
      <c r="T434" s="59">
        <f>T437</f>
        <v>2</v>
      </c>
      <c r="U434" s="8">
        <f>U437</f>
        <v>0</v>
      </c>
      <c r="V434" s="60">
        <f>V437</f>
        <v>0</v>
      </c>
    </row>
    <row r="435" spans="1:22" ht="30.6" x14ac:dyDescent="0.3">
      <c r="A435" s="61"/>
      <c r="B435" s="61"/>
      <c r="C435" s="61"/>
      <c r="D435" s="56" t="s">
        <v>409</v>
      </c>
      <c r="E435" s="57"/>
      <c r="F435" s="58"/>
      <c r="G435" s="58"/>
      <c r="H435" s="58"/>
      <c r="I435" s="58"/>
      <c r="J435" s="58"/>
      <c r="K435" s="58"/>
      <c r="L435" s="58"/>
      <c r="M435" s="62"/>
      <c r="N435" s="57"/>
      <c r="O435" s="58"/>
      <c r="P435" s="58"/>
      <c r="Q435" s="58"/>
      <c r="R435" s="58"/>
      <c r="S435" s="58"/>
      <c r="T435" s="58"/>
      <c r="U435" s="7"/>
      <c r="V435" s="62"/>
    </row>
    <row r="436" spans="1:22" x14ac:dyDescent="0.3">
      <c r="A436" s="61"/>
      <c r="B436" s="61"/>
      <c r="C436" s="61"/>
      <c r="D436" s="63"/>
      <c r="E436" s="64" t="s">
        <v>17</v>
      </c>
      <c r="F436" s="65">
        <v>2</v>
      </c>
      <c r="G436" s="66">
        <v>0</v>
      </c>
      <c r="H436" s="66">
        <v>0</v>
      </c>
      <c r="I436" s="66">
        <v>0</v>
      </c>
      <c r="J436" s="59">
        <f>OR(F436&lt;&gt;0,G436&lt;&gt;0,H436&lt;&gt;0,I436&lt;&gt;0)*(F436 + (F436 = 0))*(G436 + (G436 = 0))*(H436 + (H436 = 0))*(I436 + (I436 = 0))</f>
        <v>2</v>
      </c>
      <c r="K436" s="58"/>
      <c r="L436" s="58"/>
      <c r="M436" s="62"/>
      <c r="N436" s="64" t="s">
        <v>17</v>
      </c>
      <c r="O436" s="65">
        <v>2</v>
      </c>
      <c r="P436" s="66">
        <v>0</v>
      </c>
      <c r="Q436" s="66">
        <v>0</v>
      </c>
      <c r="R436" s="66">
        <v>0</v>
      </c>
      <c r="S436" s="59">
        <f>OR(O436&lt;&gt;0,P436&lt;&gt;0,Q436&lt;&gt;0,R436&lt;&gt;0)*(O436 + (O436 = 0))*(P436 + (P436 = 0))*(Q436 + (Q436 = 0))*(R436 + (R436 = 0))</f>
        <v>2</v>
      </c>
      <c r="T436" s="58"/>
      <c r="U436" s="7"/>
      <c r="V436" s="62"/>
    </row>
    <row r="437" spans="1:22" x14ac:dyDescent="0.3">
      <c r="A437" s="61"/>
      <c r="B437" s="61"/>
      <c r="C437" s="61"/>
      <c r="D437" s="63"/>
      <c r="E437" s="57"/>
      <c r="F437" s="58"/>
      <c r="G437" s="58"/>
      <c r="H437" s="58"/>
      <c r="I437" s="58"/>
      <c r="J437" s="67" t="s">
        <v>410</v>
      </c>
      <c r="K437" s="68">
        <f>J436*1</f>
        <v>2</v>
      </c>
      <c r="L437" s="66">
        <f>211.21*1.06</f>
        <v>223.88</v>
      </c>
      <c r="M437" s="69">
        <f>ROUND(K437*L437,2)</f>
        <v>447.76</v>
      </c>
      <c r="N437" s="57"/>
      <c r="O437" s="58"/>
      <c r="P437" s="58"/>
      <c r="Q437" s="58"/>
      <c r="R437" s="58"/>
      <c r="S437" s="67" t="s">
        <v>410</v>
      </c>
      <c r="T437" s="68">
        <f>S436*1</f>
        <v>2</v>
      </c>
      <c r="U437" s="9">
        <v>0</v>
      </c>
      <c r="V437" s="69">
        <f>ROUND(T437*U437,2)</f>
        <v>0</v>
      </c>
    </row>
    <row r="438" spans="1:22" ht="1.2" customHeight="1" x14ac:dyDescent="0.3">
      <c r="A438" s="70"/>
      <c r="B438" s="70"/>
      <c r="C438" s="70"/>
      <c r="D438" s="71"/>
      <c r="E438" s="72"/>
      <c r="F438" s="73"/>
      <c r="G438" s="73"/>
      <c r="H438" s="73"/>
      <c r="I438" s="73"/>
      <c r="J438" s="73"/>
      <c r="K438" s="73"/>
      <c r="L438" s="73"/>
      <c r="M438" s="74"/>
      <c r="N438" s="72"/>
      <c r="O438" s="73"/>
      <c r="P438" s="73"/>
      <c r="Q438" s="73"/>
      <c r="R438" s="73"/>
      <c r="S438" s="73"/>
      <c r="T438" s="73"/>
      <c r="U438" s="11"/>
      <c r="V438" s="74"/>
    </row>
    <row r="439" spans="1:22" x14ac:dyDescent="0.3">
      <c r="A439" s="61"/>
      <c r="B439" s="61"/>
      <c r="C439" s="61"/>
      <c r="D439" s="63"/>
      <c r="E439" s="57"/>
      <c r="F439" s="58"/>
      <c r="G439" s="58"/>
      <c r="H439" s="58"/>
      <c r="I439" s="58"/>
      <c r="J439" s="67" t="s">
        <v>411</v>
      </c>
      <c r="K439" s="66">
        <v>1</v>
      </c>
      <c r="L439" s="68">
        <f>M409+M414+M419+M424+M429+M434</f>
        <v>4323.57</v>
      </c>
      <c r="M439" s="69">
        <f>ROUND(K439*L439,2)</f>
        <v>4323.57</v>
      </c>
      <c r="N439" s="57"/>
      <c r="O439" s="58"/>
      <c r="P439" s="58"/>
      <c r="Q439" s="58"/>
      <c r="R439" s="58"/>
      <c r="S439" s="67" t="s">
        <v>411</v>
      </c>
      <c r="T439" s="66">
        <v>1</v>
      </c>
      <c r="U439" s="10">
        <f>V409+V414+V419+V424+V429+V434</f>
        <v>0</v>
      </c>
      <c r="V439" s="69">
        <f>ROUND(T439*U439,2)</f>
        <v>0</v>
      </c>
    </row>
    <row r="440" spans="1:22" ht="1.2" customHeight="1" x14ac:dyDescent="0.3">
      <c r="A440" s="70"/>
      <c r="B440" s="70"/>
      <c r="C440" s="70"/>
      <c r="D440" s="71"/>
      <c r="E440" s="72"/>
      <c r="F440" s="73"/>
      <c r="G440" s="73"/>
      <c r="H440" s="73"/>
      <c r="I440" s="73"/>
      <c r="J440" s="73"/>
      <c r="K440" s="73"/>
      <c r="L440" s="73"/>
      <c r="M440" s="74"/>
      <c r="N440" s="72"/>
      <c r="O440" s="73"/>
      <c r="P440" s="73"/>
      <c r="Q440" s="73"/>
      <c r="R440" s="73"/>
      <c r="S440" s="73"/>
      <c r="T440" s="73"/>
      <c r="U440" s="11"/>
      <c r="V440" s="74"/>
    </row>
    <row r="441" spans="1:22" x14ac:dyDescent="0.3">
      <c r="A441" s="35" t="s">
        <v>412</v>
      </c>
      <c r="B441" s="35" t="s">
        <v>16</v>
      </c>
      <c r="C441" s="35" t="s">
        <v>17</v>
      </c>
      <c r="D441" s="36" t="s">
        <v>413</v>
      </c>
      <c r="E441" s="37"/>
      <c r="F441" s="38"/>
      <c r="G441" s="38"/>
      <c r="H441" s="38"/>
      <c r="I441" s="38"/>
      <c r="J441" s="38"/>
      <c r="K441" s="41">
        <f>K447</f>
        <v>0</v>
      </c>
      <c r="L441" s="41">
        <f>L447</f>
        <v>750.44</v>
      </c>
      <c r="M441" s="40">
        <f>M447</f>
        <v>0</v>
      </c>
      <c r="N441" s="37"/>
      <c r="O441" s="38"/>
      <c r="P441" s="38"/>
      <c r="Q441" s="38"/>
      <c r="R441" s="38"/>
      <c r="S441" s="38"/>
      <c r="T441" s="41">
        <f>T447</f>
        <v>0</v>
      </c>
      <c r="U441" s="4">
        <f>U447</f>
        <v>0</v>
      </c>
      <c r="V441" s="40">
        <f>V447</f>
        <v>0</v>
      </c>
    </row>
    <row r="442" spans="1:22" x14ac:dyDescent="0.3">
      <c r="A442" s="54" t="s">
        <v>414</v>
      </c>
      <c r="B442" s="55" t="s">
        <v>32</v>
      </c>
      <c r="C442" s="55" t="s">
        <v>415</v>
      </c>
      <c r="D442" s="56" t="s">
        <v>416</v>
      </c>
      <c r="E442" s="57"/>
      <c r="F442" s="58"/>
      <c r="G442" s="58"/>
      <c r="H442" s="58"/>
      <c r="I442" s="58"/>
      <c r="J442" s="58"/>
      <c r="K442" s="59">
        <f>K445</f>
        <v>4</v>
      </c>
      <c r="L442" s="59">
        <f>L445</f>
        <v>187.61</v>
      </c>
      <c r="M442" s="60">
        <f>M445</f>
        <v>750.44</v>
      </c>
      <c r="N442" s="57"/>
      <c r="O442" s="58"/>
      <c r="P442" s="58"/>
      <c r="Q442" s="58"/>
      <c r="R442" s="58"/>
      <c r="S442" s="58"/>
      <c r="T442" s="59">
        <f>T445</f>
        <v>4</v>
      </c>
      <c r="U442" s="8">
        <f>U445</f>
        <v>0</v>
      </c>
      <c r="V442" s="60">
        <f>V445</f>
        <v>0</v>
      </c>
    </row>
    <row r="443" spans="1:22" ht="173.4" x14ac:dyDescent="0.3">
      <c r="A443" s="61"/>
      <c r="B443" s="61"/>
      <c r="C443" s="61"/>
      <c r="D443" s="56" t="s">
        <v>417</v>
      </c>
      <c r="E443" s="57"/>
      <c r="F443" s="58"/>
      <c r="G443" s="58"/>
      <c r="H443" s="58"/>
      <c r="I443" s="58"/>
      <c r="J443" s="58"/>
      <c r="K443" s="58"/>
      <c r="L443" s="58"/>
      <c r="M443" s="62"/>
      <c r="N443" s="57"/>
      <c r="O443" s="58"/>
      <c r="P443" s="58"/>
      <c r="Q443" s="58"/>
      <c r="R443" s="58"/>
      <c r="S443" s="58"/>
      <c r="T443" s="58"/>
      <c r="U443" s="7"/>
      <c r="V443" s="62"/>
    </row>
    <row r="444" spans="1:22" x14ac:dyDescent="0.3">
      <c r="A444" s="61"/>
      <c r="B444" s="61"/>
      <c r="C444" s="61"/>
      <c r="D444" s="63"/>
      <c r="E444" s="64" t="s">
        <v>17</v>
      </c>
      <c r="F444" s="65">
        <v>4</v>
      </c>
      <c r="G444" s="66">
        <v>0</v>
      </c>
      <c r="H444" s="66">
        <v>0</v>
      </c>
      <c r="I444" s="66">
        <v>0</v>
      </c>
      <c r="J444" s="59">
        <f>OR(F444&lt;&gt;0,G444&lt;&gt;0,H444&lt;&gt;0,I444&lt;&gt;0)*(F444 + (F444 = 0))*(G444 + (G444 = 0))*(H444 + (H444 = 0))*(I444 + (I444 = 0))</f>
        <v>4</v>
      </c>
      <c r="K444" s="58"/>
      <c r="L444" s="58"/>
      <c r="M444" s="62"/>
      <c r="N444" s="64" t="s">
        <v>17</v>
      </c>
      <c r="O444" s="65">
        <v>4</v>
      </c>
      <c r="P444" s="66">
        <v>0</v>
      </c>
      <c r="Q444" s="66">
        <v>0</v>
      </c>
      <c r="R444" s="66">
        <v>0</v>
      </c>
      <c r="S444" s="59">
        <f>OR(O444&lt;&gt;0,P444&lt;&gt;0,Q444&lt;&gt;0,R444&lt;&gt;0)*(O444 + (O444 = 0))*(P444 + (P444 = 0))*(Q444 + (Q444 = 0))*(R444 + (R444 = 0))</f>
        <v>4</v>
      </c>
      <c r="T444" s="58"/>
      <c r="U444" s="7"/>
      <c r="V444" s="62"/>
    </row>
    <row r="445" spans="1:22" x14ac:dyDescent="0.3">
      <c r="A445" s="61"/>
      <c r="B445" s="61"/>
      <c r="C445" s="61"/>
      <c r="D445" s="63"/>
      <c r="E445" s="57"/>
      <c r="F445" s="58"/>
      <c r="G445" s="58"/>
      <c r="H445" s="58"/>
      <c r="I445" s="58"/>
      <c r="J445" s="67" t="s">
        <v>418</v>
      </c>
      <c r="K445" s="68">
        <f>J444*1</f>
        <v>4</v>
      </c>
      <c r="L445" s="66">
        <f>176.99*1.06</f>
        <v>187.61</v>
      </c>
      <c r="M445" s="69">
        <f>ROUND(K445*L445,2)</f>
        <v>750.44</v>
      </c>
      <c r="N445" s="57"/>
      <c r="O445" s="58"/>
      <c r="P445" s="58"/>
      <c r="Q445" s="58"/>
      <c r="R445" s="58"/>
      <c r="S445" s="67" t="s">
        <v>418</v>
      </c>
      <c r="T445" s="68">
        <f>S444*1</f>
        <v>4</v>
      </c>
      <c r="U445" s="9">
        <v>0</v>
      </c>
      <c r="V445" s="69">
        <f>ROUND(T445*U445,2)</f>
        <v>0</v>
      </c>
    </row>
    <row r="446" spans="1:22" ht="1.2" customHeight="1" x14ac:dyDescent="0.3">
      <c r="A446" s="70"/>
      <c r="B446" s="70"/>
      <c r="C446" s="70"/>
      <c r="D446" s="71"/>
      <c r="E446" s="72"/>
      <c r="F446" s="73"/>
      <c r="G446" s="73"/>
      <c r="H446" s="73"/>
      <c r="I446" s="73"/>
      <c r="J446" s="73"/>
      <c r="K446" s="73"/>
      <c r="L446" s="73"/>
      <c r="M446" s="74"/>
      <c r="N446" s="72"/>
      <c r="O446" s="73"/>
      <c r="P446" s="73"/>
      <c r="Q446" s="73"/>
      <c r="R446" s="73"/>
      <c r="S446" s="73"/>
      <c r="T446" s="73"/>
      <c r="U446" s="11"/>
      <c r="V446" s="74"/>
    </row>
    <row r="447" spans="1:22" x14ac:dyDescent="0.3">
      <c r="A447" s="61"/>
      <c r="B447" s="61"/>
      <c r="C447" s="61"/>
      <c r="D447" s="63"/>
      <c r="E447" s="57"/>
      <c r="F447" s="58"/>
      <c r="G447" s="58"/>
      <c r="H447" s="58"/>
      <c r="I447" s="58"/>
      <c r="J447" s="67" t="s">
        <v>419</v>
      </c>
      <c r="K447" s="66">
        <v>0</v>
      </c>
      <c r="L447" s="68">
        <f>M442</f>
        <v>750.44</v>
      </c>
      <c r="M447" s="69">
        <f>ROUND(K447*L447,2)</f>
        <v>0</v>
      </c>
      <c r="N447" s="57"/>
      <c r="O447" s="58"/>
      <c r="P447" s="58"/>
      <c r="Q447" s="58"/>
      <c r="R447" s="58"/>
      <c r="S447" s="67" t="s">
        <v>419</v>
      </c>
      <c r="T447" s="66">
        <v>0</v>
      </c>
      <c r="U447" s="10">
        <f>V442</f>
        <v>0</v>
      </c>
      <c r="V447" s="69">
        <f>ROUND(T447*U447,2)</f>
        <v>0</v>
      </c>
    </row>
    <row r="448" spans="1:22" ht="1.2" customHeight="1" x14ac:dyDescent="0.3">
      <c r="A448" s="70"/>
      <c r="B448" s="70"/>
      <c r="C448" s="70"/>
      <c r="D448" s="71"/>
      <c r="E448" s="72"/>
      <c r="F448" s="73"/>
      <c r="G448" s="73"/>
      <c r="H448" s="73"/>
      <c r="I448" s="73"/>
      <c r="J448" s="73"/>
      <c r="K448" s="73"/>
      <c r="L448" s="73"/>
      <c r="M448" s="74"/>
      <c r="N448" s="72"/>
      <c r="O448" s="73"/>
      <c r="P448" s="73"/>
      <c r="Q448" s="73"/>
      <c r="R448" s="73"/>
      <c r="S448" s="73"/>
      <c r="T448" s="73"/>
      <c r="U448" s="11"/>
      <c r="V448" s="74"/>
    </row>
    <row r="449" spans="1:22" x14ac:dyDescent="0.3">
      <c r="A449" s="61"/>
      <c r="B449" s="61"/>
      <c r="C449" s="61"/>
      <c r="D449" s="63"/>
      <c r="E449" s="57"/>
      <c r="F449" s="58"/>
      <c r="G449" s="58"/>
      <c r="H449" s="58"/>
      <c r="I449" s="58"/>
      <c r="J449" s="67" t="s">
        <v>420</v>
      </c>
      <c r="K449" s="66">
        <v>1</v>
      </c>
      <c r="L449" s="68">
        <f>M408+M441</f>
        <v>4323.57</v>
      </c>
      <c r="M449" s="69">
        <f>ROUND(K449*L449,2)</f>
        <v>4323.57</v>
      </c>
      <c r="N449" s="57"/>
      <c r="O449" s="58"/>
      <c r="P449" s="58"/>
      <c r="Q449" s="58"/>
      <c r="R449" s="58"/>
      <c r="S449" s="67" t="s">
        <v>420</v>
      </c>
      <c r="T449" s="66">
        <v>1</v>
      </c>
      <c r="U449" s="68">
        <f>V408+V441</f>
        <v>0</v>
      </c>
      <c r="V449" s="69">
        <f>ROUND(T449*U449,2)</f>
        <v>0</v>
      </c>
    </row>
    <row r="450" spans="1:22" ht="1.2" customHeight="1" x14ac:dyDescent="0.3">
      <c r="A450" s="70"/>
      <c r="B450" s="70"/>
      <c r="C450" s="70"/>
      <c r="D450" s="71"/>
      <c r="E450" s="72"/>
      <c r="F450" s="73"/>
      <c r="G450" s="73"/>
      <c r="H450" s="73"/>
      <c r="I450" s="73"/>
      <c r="J450" s="73"/>
      <c r="K450" s="73"/>
      <c r="L450" s="73"/>
      <c r="M450" s="74"/>
      <c r="N450" s="72"/>
      <c r="O450" s="73"/>
      <c r="P450" s="73"/>
      <c r="Q450" s="73"/>
      <c r="R450" s="73"/>
      <c r="S450" s="73"/>
      <c r="T450" s="73"/>
      <c r="U450" s="11"/>
      <c r="V450" s="74"/>
    </row>
    <row r="451" spans="1:22" x14ac:dyDescent="0.3">
      <c r="A451" s="61"/>
      <c r="B451" s="61"/>
      <c r="C451" s="61"/>
      <c r="D451" s="63"/>
      <c r="E451" s="57"/>
      <c r="F451" s="58"/>
      <c r="G451" s="58"/>
      <c r="H451" s="58"/>
      <c r="I451" s="58"/>
      <c r="J451" s="67" t="s">
        <v>421</v>
      </c>
      <c r="K451" s="81">
        <v>1</v>
      </c>
      <c r="L451" s="68">
        <f>M257+M306+M407</f>
        <v>17599.57</v>
      </c>
      <c r="M451" s="69">
        <f>ROUND(K451*L451,2)</f>
        <v>17599.57</v>
      </c>
      <c r="N451" s="57"/>
      <c r="O451" s="58"/>
      <c r="P451" s="58"/>
      <c r="Q451" s="58"/>
      <c r="R451" s="58"/>
      <c r="S451" s="67" t="s">
        <v>421</v>
      </c>
      <c r="T451" s="81">
        <v>1</v>
      </c>
      <c r="U451" s="10">
        <f>V257+V306+V407</f>
        <v>0</v>
      </c>
      <c r="V451" s="69">
        <f>ROUND(T451*U451,2)</f>
        <v>0</v>
      </c>
    </row>
    <row r="452" spans="1:22" ht="1.2" customHeight="1" x14ac:dyDescent="0.3">
      <c r="A452" s="70"/>
      <c r="B452" s="70"/>
      <c r="C452" s="70"/>
      <c r="D452" s="71"/>
      <c r="E452" s="72"/>
      <c r="F452" s="73"/>
      <c r="G452" s="73"/>
      <c r="H452" s="73"/>
      <c r="I452" s="73"/>
      <c r="J452" s="73"/>
      <c r="K452" s="73"/>
      <c r="L452" s="73"/>
      <c r="M452" s="74"/>
      <c r="N452" s="72"/>
      <c r="O452" s="73"/>
      <c r="P452" s="73"/>
      <c r="Q452" s="73"/>
      <c r="R452" s="73"/>
      <c r="S452" s="73"/>
      <c r="T452" s="73"/>
      <c r="U452" s="11"/>
      <c r="V452" s="74"/>
    </row>
    <row r="453" spans="1:22" x14ac:dyDescent="0.3">
      <c r="A453" s="22" t="s">
        <v>422</v>
      </c>
      <c r="B453" s="22" t="s">
        <v>16</v>
      </c>
      <c r="C453" s="22" t="s">
        <v>17</v>
      </c>
      <c r="D453" s="23" t="s">
        <v>423</v>
      </c>
      <c r="E453" s="24"/>
      <c r="F453" s="25"/>
      <c r="G453" s="25"/>
      <c r="H453" s="25"/>
      <c r="I453" s="25"/>
      <c r="J453" s="25"/>
      <c r="K453" s="26">
        <f>K470</f>
        <v>1</v>
      </c>
      <c r="L453" s="27">
        <f>L470</f>
        <v>1859.91</v>
      </c>
      <c r="M453" s="28">
        <f>M470</f>
        <v>1859.91</v>
      </c>
      <c r="N453" s="24"/>
      <c r="O453" s="25"/>
      <c r="P453" s="25"/>
      <c r="Q453" s="25"/>
      <c r="R453" s="25"/>
      <c r="S453" s="25"/>
      <c r="T453" s="26">
        <f>T470</f>
        <v>1</v>
      </c>
      <c r="U453" s="1">
        <f>U470</f>
        <v>0</v>
      </c>
      <c r="V453" s="28">
        <f>V470</f>
        <v>0</v>
      </c>
    </row>
    <row r="454" spans="1:22" x14ac:dyDescent="0.3">
      <c r="A454" s="54" t="s">
        <v>424</v>
      </c>
      <c r="B454" s="55" t="s">
        <v>32</v>
      </c>
      <c r="C454" s="55" t="s">
        <v>185</v>
      </c>
      <c r="D454" s="56" t="s">
        <v>425</v>
      </c>
      <c r="E454" s="57"/>
      <c r="F454" s="58"/>
      <c r="G454" s="58"/>
      <c r="H454" s="58"/>
      <c r="I454" s="58"/>
      <c r="J454" s="58"/>
      <c r="K454" s="66">
        <v>3</v>
      </c>
      <c r="L454" s="66">
        <f>274.39*1.06</f>
        <v>290.85000000000002</v>
      </c>
      <c r="M454" s="60">
        <f>ROUND(K454*L454,2)</f>
        <v>872.55</v>
      </c>
      <c r="N454" s="57"/>
      <c r="O454" s="58"/>
      <c r="P454" s="58"/>
      <c r="Q454" s="58"/>
      <c r="R454" s="58"/>
      <c r="S454" s="58"/>
      <c r="T454" s="66">
        <v>3</v>
      </c>
      <c r="U454" s="9">
        <v>0</v>
      </c>
      <c r="V454" s="60">
        <f>ROUND(T454*U454,2)</f>
        <v>0</v>
      </c>
    </row>
    <row r="455" spans="1:22" ht="122.4" x14ac:dyDescent="0.3">
      <c r="A455" s="61"/>
      <c r="B455" s="61"/>
      <c r="C455" s="61"/>
      <c r="D455" s="56" t="s">
        <v>426</v>
      </c>
      <c r="E455" s="57"/>
      <c r="F455" s="58"/>
      <c r="G455" s="58"/>
      <c r="H455" s="58"/>
      <c r="I455" s="58"/>
      <c r="J455" s="58"/>
      <c r="K455" s="58"/>
      <c r="L455" s="58"/>
      <c r="M455" s="62"/>
      <c r="N455" s="57"/>
      <c r="O455" s="58"/>
      <c r="P455" s="58"/>
      <c r="Q455" s="58"/>
      <c r="R455" s="58"/>
      <c r="S455" s="58"/>
      <c r="T455" s="58"/>
      <c r="U455" s="7"/>
      <c r="V455" s="62"/>
    </row>
    <row r="456" spans="1:22" x14ac:dyDescent="0.3">
      <c r="A456" s="54" t="s">
        <v>427</v>
      </c>
      <c r="B456" s="55" t="s">
        <v>32</v>
      </c>
      <c r="C456" s="55" t="s">
        <v>185</v>
      </c>
      <c r="D456" s="56" t="s">
        <v>428</v>
      </c>
      <c r="E456" s="57"/>
      <c r="F456" s="58"/>
      <c r="G456" s="58"/>
      <c r="H456" s="58"/>
      <c r="I456" s="58"/>
      <c r="J456" s="58"/>
      <c r="K456" s="66">
        <v>2</v>
      </c>
      <c r="L456" s="66">
        <f>99.96*1.06</f>
        <v>105.96</v>
      </c>
      <c r="M456" s="60">
        <f>ROUND(K456*L456,2)</f>
        <v>211.92</v>
      </c>
      <c r="N456" s="57"/>
      <c r="O456" s="58"/>
      <c r="P456" s="58"/>
      <c r="Q456" s="58"/>
      <c r="R456" s="58"/>
      <c r="S456" s="58"/>
      <c r="T456" s="66">
        <v>2</v>
      </c>
      <c r="U456" s="9">
        <v>0</v>
      </c>
      <c r="V456" s="60">
        <f>ROUND(T456*U456,2)</f>
        <v>0</v>
      </c>
    </row>
    <row r="457" spans="1:22" ht="30.6" x14ac:dyDescent="0.3">
      <c r="A457" s="61"/>
      <c r="B457" s="61"/>
      <c r="C457" s="61"/>
      <c r="D457" s="56" t="s">
        <v>429</v>
      </c>
      <c r="E457" s="57"/>
      <c r="F457" s="58"/>
      <c r="G457" s="58"/>
      <c r="H457" s="58"/>
      <c r="I457" s="58"/>
      <c r="J457" s="58"/>
      <c r="K457" s="58"/>
      <c r="L457" s="58"/>
      <c r="M457" s="62"/>
      <c r="N457" s="57"/>
      <c r="O457" s="58"/>
      <c r="P457" s="58"/>
      <c r="Q457" s="58"/>
      <c r="R457" s="58"/>
      <c r="S457" s="58"/>
      <c r="T457" s="58"/>
      <c r="U457" s="7"/>
      <c r="V457" s="62"/>
    </row>
    <row r="458" spans="1:22" x14ac:dyDescent="0.3">
      <c r="A458" s="54" t="s">
        <v>430</v>
      </c>
      <c r="B458" s="55" t="s">
        <v>32</v>
      </c>
      <c r="C458" s="55" t="s">
        <v>185</v>
      </c>
      <c r="D458" s="56" t="s">
        <v>431</v>
      </c>
      <c r="E458" s="57"/>
      <c r="F458" s="58"/>
      <c r="G458" s="58"/>
      <c r="H458" s="58"/>
      <c r="I458" s="58"/>
      <c r="J458" s="58"/>
      <c r="K458" s="66">
        <v>3</v>
      </c>
      <c r="L458" s="66">
        <f>32.21*1.06</f>
        <v>34.14</v>
      </c>
      <c r="M458" s="60">
        <f>ROUND(K458*L458,2)</f>
        <v>102.42</v>
      </c>
      <c r="N458" s="57"/>
      <c r="O458" s="58"/>
      <c r="P458" s="58"/>
      <c r="Q458" s="58"/>
      <c r="R458" s="58"/>
      <c r="S458" s="58"/>
      <c r="T458" s="66">
        <v>3</v>
      </c>
      <c r="U458" s="9">
        <v>0</v>
      </c>
      <c r="V458" s="60">
        <f>ROUND(T458*U458,2)</f>
        <v>0</v>
      </c>
    </row>
    <row r="459" spans="1:22" ht="30.6" x14ac:dyDescent="0.3">
      <c r="A459" s="61"/>
      <c r="B459" s="61"/>
      <c r="C459" s="61"/>
      <c r="D459" s="56" t="s">
        <v>432</v>
      </c>
      <c r="E459" s="57"/>
      <c r="F459" s="58"/>
      <c r="G459" s="58"/>
      <c r="H459" s="58"/>
      <c r="I459" s="58"/>
      <c r="J459" s="58"/>
      <c r="K459" s="58"/>
      <c r="L459" s="58"/>
      <c r="M459" s="62"/>
      <c r="N459" s="57"/>
      <c r="O459" s="58"/>
      <c r="P459" s="58"/>
      <c r="Q459" s="58"/>
      <c r="R459" s="58"/>
      <c r="S459" s="58"/>
      <c r="T459" s="58"/>
      <c r="U459" s="7"/>
      <c r="V459" s="62"/>
    </row>
    <row r="460" spans="1:22" x14ac:dyDescent="0.3">
      <c r="A460" s="54" t="s">
        <v>433</v>
      </c>
      <c r="B460" s="55" t="s">
        <v>32</v>
      </c>
      <c r="C460" s="55" t="s">
        <v>185</v>
      </c>
      <c r="D460" s="56" t="s">
        <v>434</v>
      </c>
      <c r="E460" s="57"/>
      <c r="F460" s="58"/>
      <c r="G460" s="58"/>
      <c r="H460" s="58"/>
      <c r="I460" s="58"/>
      <c r="J460" s="58"/>
      <c r="K460" s="66">
        <v>3</v>
      </c>
      <c r="L460" s="66">
        <f>44.66*1.06</f>
        <v>47.34</v>
      </c>
      <c r="M460" s="60">
        <f>ROUND(K460*L460,2)</f>
        <v>142.02000000000001</v>
      </c>
      <c r="N460" s="57"/>
      <c r="O460" s="58"/>
      <c r="P460" s="58"/>
      <c r="Q460" s="58"/>
      <c r="R460" s="58"/>
      <c r="S460" s="58"/>
      <c r="T460" s="66">
        <v>3</v>
      </c>
      <c r="U460" s="9">
        <v>0</v>
      </c>
      <c r="V460" s="60">
        <f>ROUND(T460*U460,2)</f>
        <v>0</v>
      </c>
    </row>
    <row r="461" spans="1:22" ht="40.799999999999997" x14ac:dyDescent="0.3">
      <c r="A461" s="61"/>
      <c r="B461" s="61"/>
      <c r="C461" s="61"/>
      <c r="D461" s="56" t="s">
        <v>435</v>
      </c>
      <c r="E461" s="57"/>
      <c r="F461" s="58"/>
      <c r="G461" s="58"/>
      <c r="H461" s="58"/>
      <c r="I461" s="58"/>
      <c r="J461" s="58"/>
      <c r="K461" s="58"/>
      <c r="L461" s="58"/>
      <c r="M461" s="62"/>
      <c r="N461" s="57"/>
      <c r="O461" s="58"/>
      <c r="P461" s="58"/>
      <c r="Q461" s="58"/>
      <c r="R461" s="58"/>
      <c r="S461" s="58"/>
      <c r="T461" s="58"/>
      <c r="U461" s="7"/>
      <c r="V461" s="62"/>
    </row>
    <row r="462" spans="1:22" x14ac:dyDescent="0.3">
      <c r="A462" s="54" t="s">
        <v>436</v>
      </c>
      <c r="B462" s="55" t="s">
        <v>32</v>
      </c>
      <c r="C462" s="55" t="s">
        <v>185</v>
      </c>
      <c r="D462" s="56" t="s">
        <v>437</v>
      </c>
      <c r="E462" s="57"/>
      <c r="F462" s="58"/>
      <c r="G462" s="58"/>
      <c r="H462" s="58"/>
      <c r="I462" s="58"/>
      <c r="J462" s="58"/>
      <c r="K462" s="66">
        <v>2</v>
      </c>
      <c r="L462" s="66">
        <f>77.07*1.06</f>
        <v>81.69</v>
      </c>
      <c r="M462" s="60">
        <f>ROUND(K462*L462,2)</f>
        <v>163.38</v>
      </c>
      <c r="N462" s="57"/>
      <c r="O462" s="58"/>
      <c r="P462" s="58"/>
      <c r="Q462" s="58"/>
      <c r="R462" s="58"/>
      <c r="S462" s="58"/>
      <c r="T462" s="66">
        <v>2</v>
      </c>
      <c r="U462" s="9">
        <v>0</v>
      </c>
      <c r="V462" s="60">
        <f>ROUND(T462*U462,2)</f>
        <v>0</v>
      </c>
    </row>
    <row r="463" spans="1:22" ht="61.2" x14ac:dyDescent="0.3">
      <c r="A463" s="61"/>
      <c r="B463" s="61"/>
      <c r="C463" s="61"/>
      <c r="D463" s="56" t="s">
        <v>438</v>
      </c>
      <c r="E463" s="57"/>
      <c r="F463" s="58"/>
      <c r="G463" s="58"/>
      <c r="H463" s="58"/>
      <c r="I463" s="58"/>
      <c r="J463" s="58"/>
      <c r="K463" s="58"/>
      <c r="L463" s="58"/>
      <c r="M463" s="62"/>
      <c r="N463" s="57"/>
      <c r="O463" s="58"/>
      <c r="P463" s="58"/>
      <c r="Q463" s="58"/>
      <c r="R463" s="58"/>
      <c r="S463" s="58"/>
      <c r="T463" s="58"/>
      <c r="U463" s="7"/>
      <c r="V463" s="62"/>
    </row>
    <row r="464" spans="1:22" x14ac:dyDescent="0.3">
      <c r="A464" s="54" t="s">
        <v>439</v>
      </c>
      <c r="B464" s="55" t="s">
        <v>32</v>
      </c>
      <c r="C464" s="55" t="s">
        <v>185</v>
      </c>
      <c r="D464" s="56" t="s">
        <v>440</v>
      </c>
      <c r="E464" s="57"/>
      <c r="F464" s="58"/>
      <c r="G464" s="58"/>
      <c r="H464" s="58"/>
      <c r="I464" s="58"/>
      <c r="J464" s="58"/>
      <c r="K464" s="66">
        <v>2</v>
      </c>
      <c r="L464" s="66">
        <f>77.07*1.06</f>
        <v>81.69</v>
      </c>
      <c r="M464" s="60">
        <f>ROUND(K464*L464,2)</f>
        <v>163.38</v>
      </c>
      <c r="N464" s="57"/>
      <c r="O464" s="58"/>
      <c r="P464" s="58"/>
      <c r="Q464" s="58"/>
      <c r="R464" s="58"/>
      <c r="S464" s="58"/>
      <c r="T464" s="66">
        <v>2</v>
      </c>
      <c r="U464" s="9">
        <v>0</v>
      </c>
      <c r="V464" s="60">
        <f>ROUND(T464*U464,2)</f>
        <v>0</v>
      </c>
    </row>
    <row r="465" spans="1:22" ht="51" x14ac:dyDescent="0.3">
      <c r="A465" s="61"/>
      <c r="B465" s="61"/>
      <c r="C465" s="61"/>
      <c r="D465" s="56" t="s">
        <v>441</v>
      </c>
      <c r="E465" s="57"/>
      <c r="F465" s="58"/>
      <c r="G465" s="58"/>
      <c r="H465" s="58"/>
      <c r="I465" s="58"/>
      <c r="J465" s="58"/>
      <c r="K465" s="58"/>
      <c r="L465" s="58"/>
      <c r="M465" s="62"/>
      <c r="N465" s="57"/>
      <c r="O465" s="58"/>
      <c r="P465" s="58"/>
      <c r="Q465" s="58"/>
      <c r="R465" s="58"/>
      <c r="S465" s="58"/>
      <c r="T465" s="58"/>
      <c r="U465" s="7"/>
      <c r="V465" s="62"/>
    </row>
    <row r="466" spans="1:22" x14ac:dyDescent="0.3">
      <c r="A466" s="54" t="s">
        <v>442</v>
      </c>
      <c r="B466" s="55" t="s">
        <v>32</v>
      </c>
      <c r="C466" s="55" t="s">
        <v>185</v>
      </c>
      <c r="D466" s="56" t="s">
        <v>443</v>
      </c>
      <c r="E466" s="57"/>
      <c r="F466" s="58"/>
      <c r="G466" s="58"/>
      <c r="H466" s="58"/>
      <c r="I466" s="58"/>
      <c r="J466" s="58"/>
      <c r="K466" s="66">
        <v>1</v>
      </c>
      <c r="L466" s="66">
        <f>77.07*1.06</f>
        <v>81.69</v>
      </c>
      <c r="M466" s="60">
        <f>ROUND(K466*L466,2)</f>
        <v>81.69</v>
      </c>
      <c r="N466" s="57"/>
      <c r="O466" s="58"/>
      <c r="P466" s="58"/>
      <c r="Q466" s="58"/>
      <c r="R466" s="58"/>
      <c r="S466" s="58"/>
      <c r="T466" s="66">
        <v>1</v>
      </c>
      <c r="U466" s="9">
        <v>0</v>
      </c>
      <c r="V466" s="60">
        <f>ROUND(T466*U466,2)</f>
        <v>0</v>
      </c>
    </row>
    <row r="467" spans="1:22" ht="30.6" x14ac:dyDescent="0.3">
      <c r="A467" s="61"/>
      <c r="B467" s="61"/>
      <c r="C467" s="61"/>
      <c r="D467" s="56" t="s">
        <v>444</v>
      </c>
      <c r="E467" s="57"/>
      <c r="F467" s="58"/>
      <c r="G467" s="58"/>
      <c r="H467" s="58"/>
      <c r="I467" s="58"/>
      <c r="J467" s="58"/>
      <c r="K467" s="58"/>
      <c r="L467" s="58"/>
      <c r="M467" s="62"/>
      <c r="N467" s="57"/>
      <c r="O467" s="58"/>
      <c r="P467" s="58"/>
      <c r="Q467" s="58"/>
      <c r="R467" s="58"/>
      <c r="S467" s="58"/>
      <c r="T467" s="58"/>
      <c r="U467" s="7"/>
      <c r="V467" s="62"/>
    </row>
    <row r="468" spans="1:22" x14ac:dyDescent="0.3">
      <c r="A468" s="54" t="s">
        <v>445</v>
      </c>
      <c r="B468" s="55" t="s">
        <v>32</v>
      </c>
      <c r="C468" s="55" t="s">
        <v>185</v>
      </c>
      <c r="D468" s="56" t="s">
        <v>446</v>
      </c>
      <c r="E468" s="57"/>
      <c r="F468" s="58"/>
      <c r="G468" s="58"/>
      <c r="H468" s="58"/>
      <c r="I468" s="58"/>
      <c r="J468" s="58"/>
      <c r="K468" s="66">
        <v>1</v>
      </c>
      <c r="L468" s="66">
        <f>115.61*1.06</f>
        <v>122.55</v>
      </c>
      <c r="M468" s="60">
        <f>ROUND(K468*L468,2)</f>
        <v>122.55</v>
      </c>
      <c r="N468" s="57"/>
      <c r="O468" s="58"/>
      <c r="P468" s="58"/>
      <c r="Q468" s="58"/>
      <c r="R468" s="58"/>
      <c r="S468" s="58"/>
      <c r="T468" s="66">
        <v>1</v>
      </c>
      <c r="U468" s="9">
        <v>0</v>
      </c>
      <c r="V468" s="60">
        <f>ROUND(T468*U468,2)</f>
        <v>0</v>
      </c>
    </row>
    <row r="469" spans="1:22" ht="30.6" x14ac:dyDescent="0.3">
      <c r="A469" s="61"/>
      <c r="B469" s="61"/>
      <c r="C469" s="61"/>
      <c r="D469" s="56" t="s">
        <v>447</v>
      </c>
      <c r="E469" s="57"/>
      <c r="F469" s="58"/>
      <c r="G469" s="58"/>
      <c r="H469" s="58"/>
      <c r="I469" s="58"/>
      <c r="J469" s="58"/>
      <c r="K469" s="58"/>
      <c r="L469" s="58"/>
      <c r="M469" s="62"/>
      <c r="N469" s="57"/>
      <c r="O469" s="58"/>
      <c r="P469" s="58"/>
      <c r="Q469" s="58"/>
      <c r="R469" s="58"/>
      <c r="S469" s="58"/>
      <c r="T469" s="58"/>
      <c r="U469" s="7"/>
      <c r="V469" s="62"/>
    </row>
    <row r="470" spans="1:22" x14ac:dyDescent="0.3">
      <c r="A470" s="61"/>
      <c r="B470" s="61"/>
      <c r="C470" s="61"/>
      <c r="D470" s="63"/>
      <c r="E470" s="57"/>
      <c r="F470" s="58"/>
      <c r="G470" s="58"/>
      <c r="H470" s="58"/>
      <c r="I470" s="58"/>
      <c r="J470" s="67" t="s">
        <v>448</v>
      </c>
      <c r="K470" s="81">
        <v>1</v>
      </c>
      <c r="L470" s="68">
        <f>M454+M456+M458+M460+M462+M464+M466+M468</f>
        <v>1859.91</v>
      </c>
      <c r="M470" s="69">
        <f>ROUND(K470*L470,2)</f>
        <v>1859.91</v>
      </c>
      <c r="N470" s="57"/>
      <c r="O470" s="58"/>
      <c r="P470" s="58"/>
      <c r="Q470" s="58"/>
      <c r="R470" s="58"/>
      <c r="S470" s="67" t="s">
        <v>448</v>
      </c>
      <c r="T470" s="81">
        <v>1</v>
      </c>
      <c r="U470" s="10">
        <f>V454+V456+V458+V460+V462+V464+V466+V468</f>
        <v>0</v>
      </c>
      <c r="V470" s="69">
        <f>ROUND(T470*U470,2)</f>
        <v>0</v>
      </c>
    </row>
    <row r="471" spans="1:22" ht="1.2" customHeight="1" x14ac:dyDescent="0.3">
      <c r="A471" s="70"/>
      <c r="B471" s="70"/>
      <c r="C471" s="70"/>
      <c r="D471" s="71"/>
      <c r="E471" s="72"/>
      <c r="F471" s="73"/>
      <c r="G471" s="73"/>
      <c r="H471" s="73"/>
      <c r="I471" s="73"/>
      <c r="J471" s="73"/>
      <c r="K471" s="73"/>
      <c r="L471" s="73"/>
      <c r="M471" s="74"/>
      <c r="N471" s="72"/>
      <c r="O471" s="73"/>
      <c r="P471" s="73"/>
      <c r="Q471" s="73"/>
      <c r="R471" s="73"/>
      <c r="S471" s="73"/>
      <c r="T471" s="73"/>
      <c r="U471" s="73"/>
      <c r="V471" s="74"/>
    </row>
    <row r="472" spans="1:22" ht="15" thickBot="1" x14ac:dyDescent="0.35">
      <c r="A472" s="61"/>
      <c r="B472" s="61"/>
      <c r="C472" s="61"/>
      <c r="D472" s="63"/>
      <c r="E472" s="82"/>
      <c r="F472" s="83"/>
      <c r="G472" s="83"/>
      <c r="H472" s="83"/>
      <c r="I472" s="83"/>
      <c r="J472" s="84" t="s">
        <v>449</v>
      </c>
      <c r="K472" s="85">
        <v>1</v>
      </c>
      <c r="L472" s="86">
        <f>M4+M204+M256+M453</f>
        <v>213064.99</v>
      </c>
      <c r="M472" s="87">
        <f>ROUND(K472*L472,2)</f>
        <v>213064.99</v>
      </c>
      <c r="N472" s="82"/>
      <c r="O472" s="83"/>
      <c r="P472" s="83"/>
      <c r="Q472" s="83"/>
      <c r="R472" s="83"/>
      <c r="S472" s="84" t="s">
        <v>449</v>
      </c>
      <c r="T472" s="85">
        <v>1</v>
      </c>
      <c r="U472" s="13">
        <f>V4+V204+V256+V453</f>
        <v>0</v>
      </c>
      <c r="V472" s="87">
        <f>ROUND(T472*U472,2)</f>
        <v>0</v>
      </c>
    </row>
    <row r="473" spans="1:22" ht="1.2" customHeight="1" x14ac:dyDescent="0.3">
      <c r="A473" s="70"/>
      <c r="B473" s="70"/>
      <c r="C473" s="70"/>
      <c r="D473" s="71"/>
      <c r="E473" s="70"/>
      <c r="F473" s="70"/>
      <c r="G473" s="70"/>
      <c r="H473" s="70"/>
      <c r="I473" s="70"/>
      <c r="J473" s="70"/>
      <c r="K473" s="70"/>
      <c r="L473" s="70"/>
      <c r="M473" s="70"/>
      <c r="N473" s="70"/>
      <c r="O473" s="70"/>
      <c r="P473" s="70"/>
      <c r="Q473" s="70"/>
      <c r="R473" s="70"/>
      <c r="S473" s="70"/>
      <c r="T473" s="70"/>
      <c r="U473" s="70"/>
      <c r="V473" s="70"/>
    </row>
    <row r="474" spans="1:22" x14ac:dyDescent="0.3">
      <c r="E474" s="89"/>
      <c r="F474" s="90"/>
      <c r="G474" s="91"/>
      <c r="H474" s="90"/>
      <c r="I474" s="90"/>
      <c r="J474" s="92" t="s">
        <v>450</v>
      </c>
      <c r="K474" s="89"/>
      <c r="L474" s="90"/>
      <c r="M474" s="93">
        <f>M472</f>
        <v>213064.99</v>
      </c>
      <c r="N474" s="89"/>
      <c r="O474" s="90"/>
      <c r="P474" s="91"/>
      <c r="Q474" s="90"/>
      <c r="R474" s="90"/>
      <c r="S474" s="92" t="s">
        <v>450</v>
      </c>
      <c r="T474" s="89"/>
      <c r="U474" s="90"/>
      <c r="V474" s="93">
        <f>V472</f>
        <v>0</v>
      </c>
    </row>
    <row r="475" spans="1:22" ht="20.399999999999999" x14ac:dyDescent="0.3">
      <c r="E475" s="94"/>
      <c r="F475" s="95"/>
      <c r="G475" s="91"/>
      <c r="H475" s="95"/>
      <c r="I475" s="95"/>
      <c r="J475" s="96" t="s">
        <v>451</v>
      </c>
      <c r="K475" s="97">
        <v>0.19</v>
      </c>
      <c r="L475" s="95"/>
      <c r="M475" s="98">
        <f>M474*K475</f>
        <v>40482.35</v>
      </c>
      <c r="N475" s="94"/>
      <c r="O475" s="95"/>
      <c r="P475" s="91"/>
      <c r="Q475" s="95"/>
      <c r="R475" s="95"/>
      <c r="S475" s="96" t="s">
        <v>451</v>
      </c>
      <c r="T475" s="103">
        <v>0.19</v>
      </c>
      <c r="U475" s="95"/>
      <c r="V475" s="98">
        <f>V474*T475</f>
        <v>0</v>
      </c>
    </row>
    <row r="476" spans="1:22" x14ac:dyDescent="0.3">
      <c r="E476" s="94"/>
      <c r="F476" s="95"/>
      <c r="G476" s="91"/>
      <c r="H476" s="95"/>
      <c r="I476" s="95"/>
      <c r="J476" s="96" t="s">
        <v>453</v>
      </c>
      <c r="K476" s="94"/>
      <c r="L476" s="95"/>
      <c r="M476" s="98">
        <f>M474+M475</f>
        <v>253547.34</v>
      </c>
      <c r="N476" s="94"/>
      <c r="O476" s="95"/>
      <c r="P476" s="91"/>
      <c r="Q476" s="95"/>
      <c r="R476" s="95"/>
      <c r="S476" s="96" t="s">
        <v>453</v>
      </c>
      <c r="T476" s="94"/>
      <c r="U476" s="95"/>
      <c r="V476" s="98">
        <f>V474+V475</f>
        <v>0</v>
      </c>
    </row>
    <row r="477" spans="1:22" x14ac:dyDescent="0.3">
      <c r="E477" s="94"/>
      <c r="F477" s="95"/>
      <c r="G477" s="91"/>
      <c r="H477" s="95"/>
      <c r="I477" s="95"/>
      <c r="J477" s="96" t="s">
        <v>452</v>
      </c>
      <c r="K477" s="97">
        <v>0.21</v>
      </c>
      <c r="L477" s="95"/>
      <c r="M477" s="98">
        <f>21*M476%</f>
        <v>53244.94</v>
      </c>
      <c r="N477" s="94"/>
      <c r="O477" s="95"/>
      <c r="P477" s="91"/>
      <c r="Q477" s="95"/>
      <c r="R477" s="95"/>
      <c r="S477" s="96" t="s">
        <v>452</v>
      </c>
      <c r="T477" s="97">
        <v>0.21</v>
      </c>
      <c r="U477" s="95"/>
      <c r="V477" s="98">
        <f>21*V476%</f>
        <v>0</v>
      </c>
    </row>
    <row r="478" spans="1:22" x14ac:dyDescent="0.3">
      <c r="E478" s="99"/>
      <c r="F478" s="100"/>
      <c r="G478" s="100"/>
      <c r="H478" s="100"/>
      <c r="I478" s="100"/>
      <c r="J478" s="101" t="s">
        <v>454</v>
      </c>
      <c r="K478" s="99"/>
      <c r="L478" s="100"/>
      <c r="M478" s="102">
        <f>M476+M477</f>
        <v>306792.28000000003</v>
      </c>
      <c r="N478" s="99"/>
      <c r="O478" s="100"/>
      <c r="P478" s="100"/>
      <c r="Q478" s="100"/>
      <c r="R478" s="100"/>
      <c r="S478" s="101" t="s">
        <v>454</v>
      </c>
      <c r="T478" s="99"/>
      <c r="U478" s="100"/>
      <c r="V478" s="102">
        <f>V476+V477</f>
        <v>0</v>
      </c>
    </row>
  </sheetData>
  <sheetProtection algorithmName="SHA-512" hashValue="7GAmNNtBCLLLgFLt/j9On2BHQWznVpsSKAumXAYKWMX6hdLHpBZ2LNzEbi820/K/2+G5QvDbYPFJabUttMG6SQ==" saltValue="Y4Q3zc2Ti+exWLugtmn7gw==" spinCount="100000" sheet="1" objects="1" scenarios="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2023-06-16T11:13:42Z</dcterms:created>
  <dcterms:modified xsi:type="dcterms:W3CDTF">2023-10-05T11:09:32Z</dcterms:modified>
</cp:coreProperties>
</file>