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82F7FF94-4B01-4E12-A5CC-CB735C234BE5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RESUPUESTO" sheetId="2" state="hidden" r:id="rId1"/>
    <sheet name="OPERACIONES" sheetId="1" state="hidden" r:id="rId2"/>
    <sheet name="Presupuesto Total" sheetId="5" r:id="rId3"/>
    <sheet name="Presupuesto Ejecuc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4" l="1"/>
  <c r="M33" i="4" s="1"/>
  <c r="M34" i="4" s="1"/>
  <c r="K16" i="4" s="1"/>
  <c r="I14" i="5" s="1"/>
  <c r="H28" i="4"/>
  <c r="H23" i="4"/>
  <c r="M23" i="4" s="1"/>
  <c r="H22" i="4"/>
  <c r="K33" i="4"/>
  <c r="J33" i="4"/>
  <c r="K28" i="4"/>
  <c r="J28" i="4"/>
  <c r="K23" i="4"/>
  <c r="K22" i="4"/>
  <c r="J23" i="4"/>
  <c r="J22" i="4"/>
  <c r="G13" i="5"/>
  <c r="G14" i="5"/>
  <c r="G12" i="5"/>
  <c r="H20" i="4"/>
  <c r="J16" i="4"/>
  <c r="J15" i="4"/>
  <c r="J14" i="4"/>
  <c r="E18" i="5"/>
  <c r="E20" i="5" s="1"/>
  <c r="E21" i="5" s="1"/>
  <c r="E15" i="5"/>
  <c r="I11" i="5"/>
  <c r="N8" i="1"/>
  <c r="N4" i="1"/>
  <c r="N3" i="1"/>
  <c r="C9" i="5"/>
  <c r="E11" i="5" s="1"/>
  <c r="H37" i="4"/>
  <c r="M32" i="4"/>
  <c r="L32" i="4"/>
  <c r="K32" i="4"/>
  <c r="J32" i="4"/>
  <c r="H31" i="4"/>
  <c r="M27" i="4"/>
  <c r="L27" i="4"/>
  <c r="K27" i="4"/>
  <c r="J27" i="4"/>
  <c r="H26" i="4"/>
  <c r="M21" i="4"/>
  <c r="L21" i="4"/>
  <c r="K21" i="4"/>
  <c r="J21" i="4"/>
  <c r="M22" i="4"/>
  <c r="F22" i="4"/>
  <c r="C14" i="4"/>
  <c r="C12" i="5" s="1"/>
  <c r="J13" i="4"/>
  <c r="M28" i="4"/>
  <c r="M29" i="4" s="1"/>
  <c r="K15" i="4" s="1"/>
  <c r="I13" i="5" s="1"/>
  <c r="F33" i="4"/>
  <c r="F28" i="4"/>
  <c r="F23" i="4"/>
  <c r="C16" i="4"/>
  <c r="C14" i="5" s="1"/>
  <c r="C15" i="4"/>
  <c r="C13" i="5" s="1"/>
  <c r="M24" i="4" l="1"/>
  <c r="M37" i="4" s="1"/>
  <c r="G9" i="5"/>
  <c r="F29" i="4"/>
  <c r="F24" i="4"/>
  <c r="F34" i="4"/>
  <c r="D16" i="4" s="1"/>
  <c r="K14" i="4" l="1"/>
  <c r="E14" i="5"/>
  <c r="I5" i="1"/>
  <c r="J5" i="1" s="1"/>
  <c r="D14" i="4"/>
  <c r="F37" i="4"/>
  <c r="D15" i="4"/>
  <c r="K17" i="4" l="1"/>
  <c r="I12" i="5"/>
  <c r="I15" i="5" s="1"/>
  <c r="I18" i="5" s="1"/>
  <c r="E13" i="5"/>
  <c r="I4" i="1"/>
  <c r="J4" i="1" s="1"/>
  <c r="N6" i="1" s="1"/>
  <c r="E12" i="5"/>
  <c r="I3" i="1"/>
  <c r="J3" i="1" s="1"/>
  <c r="D17" i="4"/>
  <c r="H3" i="1" s="1"/>
  <c r="D2" i="2"/>
  <c r="I19" i="5" l="1"/>
  <c r="I20" i="5" s="1"/>
  <c r="I21" i="5" s="1"/>
  <c r="I22" i="5" s="1"/>
  <c r="I16" i="5"/>
  <c r="I17" i="5"/>
  <c r="E19" i="5"/>
  <c r="H7" i="1"/>
  <c r="H8" i="1" s="1"/>
  <c r="H9" i="1" s="1"/>
  <c r="H10" i="1" s="1"/>
  <c r="H5" i="1"/>
  <c r="H6" i="1"/>
  <c r="H4" i="1"/>
  <c r="D6" i="2"/>
  <c r="D5" i="2"/>
  <c r="D4" i="2"/>
  <c r="D3" i="2"/>
  <c r="F3" i="1"/>
  <c r="F4" i="1" s="1"/>
  <c r="F9" i="1"/>
  <c r="F10" i="1" s="1"/>
  <c r="D5" i="1"/>
  <c r="D4" i="1"/>
  <c r="D6" i="1"/>
  <c r="D8" i="1" s="1"/>
  <c r="D9" i="1" s="1"/>
  <c r="D7" i="1"/>
  <c r="E17" i="5" l="1"/>
  <c r="E16" i="5"/>
  <c r="E22" i="5"/>
  <c r="D7" i="2"/>
  <c r="D8" i="2" s="1"/>
  <c r="D9" i="2" s="1"/>
  <c r="F5" i="1"/>
  <c r="F6" i="1"/>
  <c r="F7" i="1"/>
  <c r="D10" i="1"/>
</calcChain>
</file>

<file path=xl/sharedStrings.xml><?xml version="1.0" encoding="utf-8"?>
<sst xmlns="http://schemas.openxmlformats.org/spreadsheetml/2006/main" count="96" uniqueCount="38">
  <si>
    <t>TOTAL PRESUPUESTO EJECUCION MATERIAL</t>
  </si>
  <si>
    <r>
      <t>Costes Directos (98%</t>
    </r>
    <r>
      <rPr>
        <sz val="11"/>
        <color rgb="FFFFFFFF"/>
        <rFont val="Arial"/>
        <family val="2"/>
      </rPr>
      <t>PEM</t>
    </r>
    <r>
      <rPr>
        <b/>
        <sz val="11"/>
        <color indexed="9"/>
        <rFont val="Arial"/>
        <family val="2"/>
      </rPr>
      <t>)</t>
    </r>
  </si>
  <si>
    <r>
      <t>Costes Indirectos (2%</t>
    </r>
    <r>
      <rPr>
        <sz val="11"/>
        <color rgb="FFFFFFFF"/>
        <rFont val="Arial"/>
        <family val="2"/>
      </rPr>
      <t>PEM</t>
    </r>
    <r>
      <rPr>
        <b/>
        <sz val="11"/>
        <color indexed="9"/>
        <rFont val="Arial"/>
        <family val="2"/>
      </rPr>
      <t>)</t>
    </r>
  </si>
  <si>
    <r>
      <t>Gastos Generales empresa (%</t>
    </r>
    <r>
      <rPr>
        <sz val="11"/>
        <color rgb="FFFFFFFF"/>
        <rFont val="Arial"/>
        <family val="2"/>
      </rPr>
      <t>PEM</t>
    </r>
    <r>
      <rPr>
        <b/>
        <sz val="11"/>
        <color indexed="9"/>
        <rFont val="Arial"/>
        <family val="2"/>
      </rPr>
      <t>)</t>
    </r>
  </si>
  <si>
    <r>
      <t>Beneficio Industrial (%</t>
    </r>
    <r>
      <rPr>
        <sz val="11"/>
        <color rgb="FFFFFFFF"/>
        <rFont val="Arial"/>
        <family val="2"/>
      </rPr>
      <t>PEM</t>
    </r>
    <r>
      <rPr>
        <b/>
        <sz val="11"/>
        <color indexed="9"/>
        <rFont val="Arial"/>
        <family val="2"/>
      </rPr>
      <t>)</t>
    </r>
  </si>
  <si>
    <t>IVA</t>
  </si>
  <si>
    <t>PRESUPUESTO BASE LICITACION</t>
  </si>
  <si>
    <t>BASE IMPONIBLE</t>
  </si>
  <si>
    <t>VALOR A INTRODUCIR SOBRE EL QUE SE CALCULA EL RESTO</t>
  </si>
  <si>
    <t>METRO de MADRID</t>
  </si>
  <si>
    <t>OFERTA</t>
  </si>
  <si>
    <t>TOTAL</t>
  </si>
  <si>
    <t xml:space="preserve">TOTAL </t>
  </si>
  <si>
    <t>TOTALES</t>
  </si>
  <si>
    <t>Cantidad</t>
  </si>
  <si>
    <t>Descripción</t>
  </si>
  <si>
    <t>P/U</t>
  </si>
  <si>
    <t>Subtotal</t>
  </si>
  <si>
    <t>ud</t>
  </si>
  <si>
    <t xml:space="preserve">Total . . . . . . . </t>
  </si>
  <si>
    <t>PRESUPUESTO METRO</t>
  </si>
  <si>
    <t>PRESUPUESTO LICITADOR</t>
  </si>
  <si>
    <t>CONCEPTO</t>
  </si>
  <si>
    <t>PRESUPUESTO MANTENIMIENTO ÉQUIPOS DE INSPECCIÓN DE 
LA SEDE SOCIAL</t>
  </si>
  <si>
    <t>MNTO. EQUIPOS DE INSPECCIÓN</t>
  </si>
  <si>
    <t>1.- Arcos Detectores de Metales</t>
  </si>
  <si>
    <t>HI-PE Plus</t>
  </si>
  <si>
    <t>2.- Detectores de Metales Portátiles</t>
  </si>
  <si>
    <t>Classic</t>
  </si>
  <si>
    <t>Servicio de mantenimiento Todo Riesgo, preventivo y correctivo, para arcos detectores de metales. Duración cuatro (4) años. Marca: CEIA. Modelo: HI-PE Plus. 
(s/n: 33060040089)</t>
  </si>
  <si>
    <t>Servicio de mantenimiento Todo Riesgo, preventivo y correctivo, para arcos detectores de metales. Duración cuatro (4) años. Marca: CEIA. Modelo: Classic. 
(s/n: 31060490084)</t>
  </si>
  <si>
    <t>Servicio de mantenimiento Todo Riesgo, preventivo y correctivo, para detectores de metales portátiles. Duración cuatro (4) años. Marca: CEIA. Modelo: PD140N. 
(s/n: 31100020586) (s/n: 31100020586)(s/n: 31100020586)</t>
  </si>
  <si>
    <t>PD140N</t>
  </si>
  <si>
    <t>3.- Detector de Trazas de Narcóticos y Explosivos</t>
  </si>
  <si>
    <t>DE-tector flex</t>
  </si>
  <si>
    <t xml:space="preserve">Servicio de mantenimiento Todo Riesgo, preventivo y correctivo, para detector de narcóticos y explosivos. Duración cuatro (4) años. Marca: BRUKER. 
Modelo: DE-tector flex. (s/n: 1880000.00086). </t>
  </si>
  <si>
    <t>TOTAL MANTENIMIENTO ÉQUIPOS DE INSPECCIÓN DE LA SEDE SOCIAL</t>
  </si>
  <si>
    <t>Referencia 
(modelo o equivalente)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</si>
</sst>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"/>
    <numFmt numFmtId="165" formatCode="#,##0.00\ &quot;€&quot;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b/>
      <sz val="11"/>
      <name val="Arial"/>
      <family val="2"/>
    </font>
    <font>
      <sz val="11"/>
      <color rgb="FFFFFFFF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8"/>
      <color indexed="9"/>
      <name val="Arial"/>
      <family val="2"/>
    </font>
    <font>
      <b/>
      <sz val="47"/>
      <color rgb="FF0038A8"/>
      <name val="Arial"/>
      <family val="2"/>
    </font>
    <font>
      <sz val="14"/>
      <color theme="1"/>
      <name val="Arial"/>
      <family val="2"/>
    </font>
    <font>
      <b/>
      <u/>
      <sz val="16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Calibri"/>
      <family val="2"/>
      <scheme val="minor"/>
    </font>
    <font>
      <i/>
      <sz val="10"/>
      <name val="Arial"/>
      <family val="2"/>
    </font>
    <font>
      <sz val="10"/>
      <color theme="1"/>
      <name val="Arial"/>
      <family val="2"/>
    </font>
    <font>
      <b/>
      <sz val="22"/>
      <color indexed="9"/>
      <name val="Arial"/>
      <family val="2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276F9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44" fontId="3" fillId="0" borderId="4" xfId="1" applyFont="1" applyFill="1" applyBorder="1" applyAlignment="1" applyProtection="1">
      <alignment horizontal="right" vertical="top" wrapText="1"/>
    </xf>
    <xf numFmtId="0" fontId="5" fillId="3" borderId="5" xfId="0" applyFont="1" applyFill="1" applyBorder="1" applyAlignment="1" applyProtection="1">
      <alignment horizontal="center" vertical="top" wrapText="1"/>
      <protection locked="0"/>
    </xf>
    <xf numFmtId="44" fontId="3" fillId="0" borderId="6" xfId="1" applyFont="1" applyFill="1" applyBorder="1" applyAlignment="1" applyProtection="1">
      <alignment horizontal="right" vertical="top" wrapText="1"/>
    </xf>
    <xf numFmtId="44" fontId="3" fillId="0" borderId="7" xfId="1" applyFont="1" applyFill="1" applyBorder="1" applyAlignment="1" applyProtection="1">
      <alignment horizontal="right" vertical="top" wrapText="1"/>
    </xf>
    <xf numFmtId="3" fontId="2" fillId="2" borderId="8" xfId="0" applyNumberFormat="1" applyFont="1" applyFill="1" applyBorder="1" applyAlignment="1">
      <alignment horizontal="right" vertical="top" wrapText="1"/>
    </xf>
    <xf numFmtId="3" fontId="2" fillId="2" borderId="9" xfId="0" applyNumberFormat="1" applyFont="1" applyFill="1" applyBorder="1" applyAlignment="1">
      <alignment horizontal="right" vertical="top" wrapText="1"/>
    </xf>
    <xf numFmtId="44" fontId="3" fillId="0" borderId="10" xfId="1" applyFont="1" applyFill="1" applyBorder="1" applyAlignment="1" applyProtection="1">
      <alignment horizontal="right" vertical="top" wrapText="1"/>
    </xf>
    <xf numFmtId="3" fontId="2" fillId="2" borderId="1" xfId="0" applyNumberFormat="1" applyFont="1" applyFill="1" applyBorder="1" applyAlignment="1">
      <alignment vertical="top" wrapText="1"/>
    </xf>
    <xf numFmtId="3" fontId="2" fillId="2" borderId="2" xfId="0" applyNumberFormat="1" applyFont="1" applyFill="1" applyBorder="1" applyAlignment="1">
      <alignment vertical="top" wrapText="1"/>
    </xf>
    <xf numFmtId="44" fontId="6" fillId="2" borderId="3" xfId="1" applyFont="1" applyFill="1" applyBorder="1" applyAlignment="1" applyProtection="1">
      <alignment horizontal="right" vertical="top" wrapText="1"/>
    </xf>
    <xf numFmtId="3" fontId="2" fillId="2" borderId="11" xfId="0" applyNumberFormat="1" applyFont="1" applyFill="1" applyBorder="1" applyAlignment="1">
      <alignment horizontal="right" vertical="top" wrapText="1"/>
    </xf>
    <xf numFmtId="3" fontId="2" fillId="2" borderId="12" xfId="0" applyNumberFormat="1" applyFont="1" applyFill="1" applyBorder="1" applyAlignment="1">
      <alignment horizontal="right" vertical="top" wrapText="1"/>
    </xf>
    <xf numFmtId="3" fontId="2" fillId="2" borderId="13" xfId="0" applyNumberFormat="1" applyFont="1" applyFill="1" applyBorder="1" applyAlignment="1">
      <alignment horizontal="right" vertical="top" wrapText="1"/>
    </xf>
    <xf numFmtId="3" fontId="2" fillId="2" borderId="14" xfId="0" applyNumberFormat="1" applyFont="1" applyFill="1" applyBorder="1" applyAlignment="1">
      <alignment horizontal="right" vertical="top" wrapText="1"/>
    </xf>
    <xf numFmtId="3" fontId="2" fillId="2" borderId="15" xfId="0" applyNumberFormat="1" applyFont="1" applyFill="1" applyBorder="1" applyAlignment="1">
      <alignment horizontal="right" vertical="top" wrapText="1"/>
    </xf>
    <xf numFmtId="44" fontId="3" fillId="4" borderId="7" xfId="1" applyFont="1" applyFill="1" applyBorder="1" applyAlignment="1" applyProtection="1">
      <alignment horizontal="right" vertical="top" wrapText="1"/>
    </xf>
    <xf numFmtId="44" fontId="3" fillId="4" borderId="6" xfId="1" applyFont="1" applyFill="1" applyBorder="1" applyAlignment="1" applyProtection="1">
      <alignment horizontal="right" vertical="top" wrapText="1"/>
    </xf>
    <xf numFmtId="165" fontId="0" fillId="0" borderId="17" xfId="1" applyNumberFormat="1" applyFont="1" applyBorder="1" applyProtection="1"/>
    <xf numFmtId="165" fontId="0" fillId="0" borderId="17" xfId="1" applyNumberFormat="1" applyFont="1" applyBorder="1" applyAlignment="1" applyProtection="1"/>
    <xf numFmtId="0" fontId="5" fillId="3" borderId="25" xfId="0" applyFont="1" applyFill="1" applyBorder="1" applyAlignment="1" applyProtection="1">
      <alignment vertical="top" wrapText="1"/>
      <protection locked="0"/>
    </xf>
    <xf numFmtId="3" fontId="2" fillId="2" borderId="27" xfId="0" applyNumberFormat="1" applyFont="1" applyFill="1" applyBorder="1" applyAlignment="1">
      <alignment horizontal="center" vertical="center" wrapText="1"/>
    </xf>
    <xf numFmtId="44" fontId="0" fillId="0" borderId="6" xfId="1" applyFont="1" applyBorder="1" applyAlignment="1" applyProtection="1">
      <alignment horizontal="right"/>
    </xf>
    <xf numFmtId="44" fontId="0" fillId="0" borderId="30" xfId="1" applyFont="1" applyBorder="1" applyAlignment="1" applyProtection="1">
      <alignment horizontal="right"/>
    </xf>
    <xf numFmtId="44" fontId="3" fillId="0" borderId="3" xfId="1" applyFont="1" applyFill="1" applyBorder="1" applyAlignment="1" applyProtection="1">
      <alignment horizontal="right" vertical="top" wrapText="1"/>
    </xf>
    <xf numFmtId="44" fontId="0" fillId="0" borderId="0" xfId="0" applyNumberFormat="1"/>
    <xf numFmtId="3" fontId="2" fillId="2" borderId="31" xfId="0" applyNumberFormat="1" applyFont="1" applyFill="1" applyBorder="1" applyAlignment="1">
      <alignment horizontal="right" vertical="top" wrapText="1"/>
    </xf>
    <xf numFmtId="3" fontId="2" fillId="2" borderId="32" xfId="0" applyNumberFormat="1" applyFont="1" applyFill="1" applyBorder="1" applyAlignment="1">
      <alignment horizontal="right" vertical="top" wrapText="1"/>
    </xf>
    <xf numFmtId="44" fontId="3" fillId="0" borderId="30" xfId="1" applyFont="1" applyFill="1" applyBorder="1" applyAlignment="1" applyProtection="1">
      <alignment horizontal="right" vertical="top" wrapText="1"/>
    </xf>
    <xf numFmtId="3" fontId="2" fillId="2" borderId="33" xfId="0" applyNumberFormat="1" applyFont="1" applyFill="1" applyBorder="1" applyAlignment="1">
      <alignment horizontal="right" vertical="top" wrapText="1"/>
    </xf>
    <xf numFmtId="3" fontId="2" fillId="2" borderId="34" xfId="0" applyNumberFormat="1" applyFont="1" applyFill="1" applyBorder="1" applyAlignment="1">
      <alignment horizontal="right" vertical="top" wrapText="1"/>
    </xf>
    <xf numFmtId="3" fontId="2" fillId="2" borderId="5" xfId="0" applyNumberFormat="1" applyFont="1" applyFill="1" applyBorder="1" applyAlignment="1">
      <alignment horizontal="right" vertical="top" wrapText="1"/>
    </xf>
    <xf numFmtId="0" fontId="16" fillId="7" borderId="25" xfId="0" applyFont="1" applyFill="1" applyBorder="1" applyAlignment="1">
      <alignment horizontal="left" vertical="top" wrapText="1"/>
    </xf>
    <xf numFmtId="2" fontId="0" fillId="0" borderId="0" xfId="0" applyNumberFormat="1"/>
    <xf numFmtId="0" fontId="11" fillId="5" borderId="17" xfId="0" applyFont="1" applyFill="1" applyBorder="1" applyAlignment="1">
      <alignment horizontal="center" vertical="top" wrapText="1"/>
    </xf>
    <xf numFmtId="0" fontId="8" fillId="0" borderId="0" xfId="0" applyFont="1" applyAlignment="1">
      <alignment vertical="center" wrapText="1"/>
    </xf>
    <xf numFmtId="164" fontId="11" fillId="5" borderId="17" xfId="0" applyNumberFormat="1" applyFont="1" applyFill="1" applyBorder="1" applyAlignment="1">
      <alignment horizontal="center" vertical="top" wrapText="1"/>
    </xf>
    <xf numFmtId="3" fontId="12" fillId="2" borderId="17" xfId="0" applyNumberFormat="1" applyFont="1" applyFill="1" applyBorder="1" applyAlignment="1">
      <alignment vertical="top" wrapText="1"/>
    </xf>
    <xf numFmtId="3" fontId="13" fillId="2" borderId="17" xfId="0" applyNumberFormat="1" applyFont="1" applyFill="1" applyBorder="1" applyAlignment="1">
      <alignment vertical="top" wrapText="1"/>
    </xf>
    <xf numFmtId="165" fontId="14" fillId="0" borderId="17" xfId="0" applyNumberFormat="1" applyFont="1" applyBorder="1"/>
    <xf numFmtId="3" fontId="11" fillId="6" borderId="0" xfId="0" applyNumberFormat="1" applyFont="1" applyFill="1" applyAlignment="1">
      <alignment horizontal="center" vertical="top" wrapText="1"/>
    </xf>
    <xf numFmtId="0" fontId="11" fillId="6" borderId="0" xfId="0" applyFont="1" applyFill="1" applyAlignment="1">
      <alignment horizontal="center" vertical="top" wrapText="1"/>
    </xf>
    <xf numFmtId="166" fontId="15" fillId="6" borderId="0" xfId="0" applyNumberFormat="1" applyFont="1" applyFill="1" applyAlignment="1">
      <alignment horizontal="right" vertical="top" wrapText="1"/>
    </xf>
    <xf numFmtId="164" fontId="15" fillId="6" borderId="0" xfId="0" applyNumberFormat="1" applyFont="1" applyFill="1" applyAlignment="1">
      <alignment horizontal="right" vertical="top" wrapText="1"/>
    </xf>
    <xf numFmtId="3" fontId="12" fillId="2" borderId="0" xfId="0" applyNumberFormat="1" applyFont="1" applyFill="1" applyAlignment="1">
      <alignment horizontal="left" vertical="top" wrapText="1"/>
    </xf>
    <xf numFmtId="166" fontId="11" fillId="5" borderId="17" xfId="0" applyNumberFormat="1" applyFont="1" applyFill="1" applyBorder="1" applyAlignment="1">
      <alignment horizontal="center" vertical="top" wrapText="1"/>
    </xf>
    <xf numFmtId="3" fontId="5" fillId="0" borderId="19" xfId="0" applyNumberFormat="1" applyFont="1" applyBorder="1" applyAlignment="1">
      <alignment horizontal="center" vertical="top" wrapText="1"/>
    </xf>
    <xf numFmtId="3" fontId="5" fillId="6" borderId="20" xfId="0" applyNumberFormat="1" applyFont="1" applyFill="1" applyBorder="1" applyAlignment="1">
      <alignment horizontal="left" vertical="top" wrapText="1"/>
    </xf>
    <xf numFmtId="0" fontId="5" fillId="6" borderId="26" xfId="0" applyFont="1" applyFill="1" applyBorder="1" applyAlignment="1">
      <alignment horizontal="left" vertical="top" wrapText="1"/>
    </xf>
    <xf numFmtId="0" fontId="5" fillId="6" borderId="21" xfId="0" applyFont="1" applyFill="1" applyBorder="1" applyAlignment="1">
      <alignment vertical="top" wrapText="1"/>
    </xf>
    <xf numFmtId="165" fontId="5" fillId="6" borderId="21" xfId="0" applyNumberFormat="1" applyFont="1" applyFill="1" applyBorder="1" applyAlignment="1">
      <alignment horizontal="right" wrapText="1"/>
    </xf>
    <xf numFmtId="3" fontId="5" fillId="3" borderId="23" xfId="0" applyNumberFormat="1" applyFont="1" applyFill="1" applyBorder="1" applyAlignment="1">
      <alignment horizontal="center" vertical="center" wrapText="1"/>
    </xf>
    <xf numFmtId="3" fontId="5" fillId="6" borderId="24" xfId="0" applyNumberFormat="1" applyFont="1" applyFill="1" applyBorder="1" applyAlignment="1">
      <alignment horizontal="left" vertical="top" wrapText="1"/>
    </xf>
    <xf numFmtId="0" fontId="5" fillId="3" borderId="25" xfId="0" applyFont="1" applyFill="1" applyBorder="1" applyAlignment="1">
      <alignment vertical="top" wrapText="1"/>
    </xf>
    <xf numFmtId="165" fontId="5" fillId="6" borderId="25" xfId="0" applyNumberFormat="1" applyFont="1" applyFill="1" applyBorder="1" applyAlignment="1">
      <alignment horizontal="right" wrapText="1"/>
    </xf>
    <xf numFmtId="165" fontId="16" fillId="7" borderId="25" xfId="0" applyNumberFormat="1" applyFont="1" applyFill="1" applyBorder="1" applyAlignment="1">
      <alignment horizontal="right" wrapText="1"/>
    </xf>
    <xf numFmtId="3" fontId="11" fillId="6" borderId="9" xfId="0" applyNumberFormat="1" applyFont="1" applyFill="1" applyBorder="1" applyAlignment="1">
      <alignment horizontal="center" vertical="top" wrapText="1"/>
    </xf>
    <xf numFmtId="0" fontId="11" fillId="6" borderId="9" xfId="0" applyFont="1" applyFill="1" applyBorder="1" applyAlignment="1">
      <alignment horizontal="center" vertical="top" wrapText="1"/>
    </xf>
    <xf numFmtId="3" fontId="11" fillId="5" borderId="17" xfId="0" applyNumberFormat="1" applyFont="1" applyFill="1" applyBorder="1" applyAlignment="1">
      <alignment horizontal="left" vertical="center"/>
    </xf>
    <xf numFmtId="165" fontId="11" fillId="5" borderId="17" xfId="0" applyNumberFormat="1" applyFont="1" applyFill="1" applyBorder="1" applyAlignment="1">
      <alignment horizontal="right" vertical="center" wrapText="1"/>
    </xf>
    <xf numFmtId="3" fontId="12" fillId="2" borderId="5" xfId="0" applyNumberFormat="1" applyFont="1" applyFill="1" applyBorder="1" applyAlignment="1">
      <alignment horizontal="left" vertical="top"/>
    </xf>
    <xf numFmtId="3" fontId="12" fillId="2" borderId="8" xfId="0" applyNumberFormat="1" applyFont="1" applyFill="1" applyBorder="1" applyAlignment="1">
      <alignment horizontal="left" vertical="top"/>
    </xf>
    <xf numFmtId="3" fontId="12" fillId="2" borderId="18" xfId="0" applyNumberFormat="1" applyFont="1" applyFill="1" applyBorder="1" applyAlignment="1">
      <alignment horizontal="left" vertical="top"/>
    </xf>
    <xf numFmtId="3" fontId="12" fillId="2" borderId="0" xfId="0" applyNumberFormat="1" applyFont="1" applyFill="1" applyAlignment="1">
      <alignment horizontal="left" vertical="top"/>
    </xf>
    <xf numFmtId="0" fontId="5" fillId="6" borderId="25" xfId="0" applyFont="1" applyFill="1" applyBorder="1" applyAlignment="1">
      <alignment vertical="top" wrapText="1"/>
    </xf>
    <xf numFmtId="165" fontId="5" fillId="6" borderId="22" xfId="0" applyNumberFormat="1" applyFont="1" applyFill="1" applyBorder="1" applyAlignment="1">
      <alignment horizontal="right" wrapText="1"/>
    </xf>
    <xf numFmtId="0" fontId="5" fillId="6" borderId="26" xfId="0" applyFont="1" applyFill="1" applyBorder="1" applyAlignment="1">
      <alignment vertical="top" wrapText="1"/>
    </xf>
    <xf numFmtId="165" fontId="12" fillId="2" borderId="17" xfId="0" applyNumberFormat="1" applyFont="1" applyFill="1" applyBorder="1" applyAlignment="1">
      <alignment horizontal="center" vertical="center" wrapText="1"/>
    </xf>
    <xf numFmtId="165" fontId="12" fillId="2" borderId="18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top" wrapText="1"/>
    </xf>
    <xf numFmtId="3" fontId="2" fillId="2" borderId="2" xfId="0" applyNumberFormat="1" applyFont="1" applyFill="1" applyBorder="1" applyAlignment="1">
      <alignment vertical="top" wrapText="1"/>
    </xf>
    <xf numFmtId="3" fontId="3" fillId="4" borderId="0" xfId="0" applyNumberFormat="1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center" wrapText="1"/>
    </xf>
    <xf numFmtId="164" fontId="18" fillId="5" borderId="5" xfId="0" applyNumberFormat="1" applyFont="1" applyFill="1" applyBorder="1" applyAlignment="1">
      <alignment horizontal="center" vertical="top" wrapText="1"/>
    </xf>
    <xf numFmtId="164" fontId="18" fillId="5" borderId="8" xfId="0" applyNumberFormat="1" applyFont="1" applyFill="1" applyBorder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3" fontId="12" fillId="2" borderId="28" xfId="0" applyNumberFormat="1" applyFont="1" applyFill="1" applyBorder="1" applyAlignment="1">
      <alignment vertical="top" wrapText="1"/>
    </xf>
    <xf numFmtId="3" fontId="12" fillId="2" borderId="29" xfId="0" applyNumberFormat="1" applyFont="1" applyFill="1" applyBorder="1" applyAlignment="1">
      <alignment vertical="top" wrapText="1"/>
    </xf>
    <xf numFmtId="3" fontId="12" fillId="2" borderId="13" xfId="0" applyNumberFormat="1" applyFont="1" applyFill="1" applyBorder="1" applyAlignment="1">
      <alignment vertical="top" wrapText="1"/>
    </xf>
    <xf numFmtId="3" fontId="12" fillId="2" borderId="8" xfId="0" applyNumberFormat="1" applyFont="1" applyFill="1" applyBorder="1" applyAlignment="1">
      <alignment vertical="top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/>
    </xf>
    <xf numFmtId="164" fontId="10" fillId="5" borderId="5" xfId="0" applyNumberFormat="1" applyFont="1" applyFill="1" applyBorder="1" applyAlignment="1">
      <alignment horizontal="center" vertical="top" wrapText="1"/>
    </xf>
    <xf numFmtId="164" fontId="10" fillId="5" borderId="8" xfId="0" applyNumberFormat="1" applyFont="1" applyFill="1" applyBorder="1" applyAlignment="1">
      <alignment horizontal="center" vertical="top" wrapText="1"/>
    </xf>
    <xf numFmtId="3" fontId="12" fillId="2" borderId="5" xfId="0" applyNumberFormat="1" applyFont="1" applyFill="1" applyBorder="1" applyAlignment="1">
      <alignment horizontal="left" vertical="top" wrapText="1"/>
    </xf>
    <xf numFmtId="3" fontId="12" fillId="2" borderId="8" xfId="0" applyNumberFormat="1" applyFont="1" applyFill="1" applyBorder="1" applyAlignment="1">
      <alignment horizontal="left" vertical="top" wrapText="1"/>
    </xf>
    <xf numFmtId="3" fontId="12" fillId="2" borderId="18" xfId="0" applyNumberFormat="1" applyFont="1" applyFill="1" applyBorder="1" applyAlignment="1">
      <alignment horizontal="left" vertical="top" wrapText="1"/>
    </xf>
    <xf numFmtId="3" fontId="11" fillId="5" borderId="17" xfId="0" applyNumberFormat="1" applyFont="1" applyFill="1" applyBorder="1" applyAlignment="1">
      <alignment horizontal="center" vertical="top" wrapText="1"/>
    </xf>
    <xf numFmtId="0" fontId="11" fillId="5" borderId="5" xfId="0" applyFont="1" applyFill="1" applyBorder="1" applyAlignment="1">
      <alignment horizontal="center" vertical="top" wrapText="1"/>
    </xf>
    <xf numFmtId="0" fontId="11" fillId="5" borderId="18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8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 applyProtection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393117</xdr:colOff>
      <xdr:row>0</xdr:row>
      <xdr:rowOff>91808</xdr:rowOff>
    </xdr:from>
    <xdr:to>
      <xdr:col>11</xdr:col>
      <xdr:colOff>676028</xdr:colOff>
      <xdr:row>8</xdr:row>
      <xdr:rowOff>207308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01471E7-01BE-4741-817F-C5AAB4EEC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7217" y="91808"/>
          <a:ext cx="1867871" cy="1426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337458</xdr:colOff>
      <xdr:row>0</xdr:row>
      <xdr:rowOff>97972</xdr:rowOff>
    </xdr:from>
    <xdr:to>
      <xdr:col>2</xdr:col>
      <xdr:colOff>1501899</xdr:colOff>
      <xdr:row>8</xdr:row>
      <xdr:rowOff>32658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BDCFB7-9B72-44AE-A38A-3663650AE0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458" y="97972"/>
          <a:ext cx="1899227" cy="13861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D31B3-9AF8-409A-82BB-E655D4A02E2C}">
  <dimension ref="B1:D9"/>
  <sheetViews>
    <sheetView workbookViewId="0">
      <selection activeCell="D2" sqref="D2"/>
    </sheetView>
  </sheetViews>
  <sheetFormatPr baseColWidth="10" defaultRowHeight="14.4" x14ac:dyDescent="0.3"/>
  <cols>
    <col min="2" max="2" width="48.21875" customWidth="1"/>
    <col min="3" max="3" width="3" customWidth="1"/>
    <col min="4" max="4" width="16" bestFit="1" customWidth="1"/>
  </cols>
  <sheetData>
    <row r="1" spans="2:4" ht="15" thickBot="1" x14ac:dyDescent="0.35"/>
    <row r="2" spans="2:4" ht="15" thickBot="1" x14ac:dyDescent="0.35">
      <c r="B2" s="69" t="s">
        <v>0</v>
      </c>
      <c r="C2" s="70"/>
      <c r="D2" s="3">
        <f>OPERACIONES!D3</f>
        <v>20243.48</v>
      </c>
    </row>
    <row r="3" spans="2:4" x14ac:dyDescent="0.3">
      <c r="B3" s="11" t="s">
        <v>1</v>
      </c>
      <c r="C3" s="2">
        <v>98</v>
      </c>
      <c r="D3" s="1">
        <f>D2*(C3/100)</f>
        <v>19838.610399999998</v>
      </c>
    </row>
    <row r="4" spans="2:4" ht="15" thickBot="1" x14ac:dyDescent="0.35">
      <c r="B4" s="12" t="s">
        <v>2</v>
      </c>
      <c r="C4" s="2">
        <v>2</v>
      </c>
      <c r="D4" s="1">
        <f>D2*(C4/100)</f>
        <v>404.86959999999999</v>
      </c>
    </row>
    <row r="5" spans="2:4" x14ac:dyDescent="0.3">
      <c r="B5" s="13" t="s">
        <v>3</v>
      </c>
      <c r="C5" s="2">
        <v>9</v>
      </c>
      <c r="D5" s="3">
        <f>D2*C5/100</f>
        <v>1821.9132</v>
      </c>
    </row>
    <row r="6" spans="2:4" x14ac:dyDescent="0.3">
      <c r="B6" s="14" t="s">
        <v>4</v>
      </c>
      <c r="C6" s="2">
        <v>6</v>
      </c>
      <c r="D6" s="4">
        <f>D2*C6/100</f>
        <v>1214.6088</v>
      </c>
    </row>
    <row r="7" spans="2:4" x14ac:dyDescent="0.3">
      <c r="B7" s="13" t="s">
        <v>7</v>
      </c>
      <c r="C7" s="5"/>
      <c r="D7" s="4">
        <f>SUM(D2,D5,D6)</f>
        <v>23280.002</v>
      </c>
    </row>
    <row r="8" spans="2:4" ht="15" thickBot="1" x14ac:dyDescent="0.35">
      <c r="B8" s="15" t="s">
        <v>5</v>
      </c>
      <c r="C8" s="6"/>
      <c r="D8" s="7">
        <f>D7*0.21</f>
        <v>4888.8004199999996</v>
      </c>
    </row>
    <row r="9" spans="2:4" ht="16.2" thickBot="1" x14ac:dyDescent="0.35">
      <c r="B9" s="8" t="s">
        <v>6</v>
      </c>
      <c r="C9" s="9"/>
      <c r="D9" s="10">
        <f>+D7+D8</f>
        <v>28168.80242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2"/>
  <sheetViews>
    <sheetView workbookViewId="0">
      <selection activeCell="N3" sqref="N3"/>
    </sheetView>
  </sheetViews>
  <sheetFormatPr baseColWidth="10" defaultColWidth="8.88671875" defaultRowHeight="14.4" x14ac:dyDescent="0.3"/>
  <cols>
    <col min="1" max="1" width="10.109375" customWidth="1"/>
    <col min="2" max="2" width="48.21875" customWidth="1"/>
    <col min="3" max="3" width="3" customWidth="1"/>
    <col min="4" max="4" width="16" bestFit="1" customWidth="1"/>
    <col min="5" max="5" width="4" customWidth="1"/>
    <col min="6" max="6" width="14.109375" bestFit="1" customWidth="1"/>
    <col min="7" max="7" width="3.6640625" customWidth="1"/>
    <col min="8" max="8" width="14.6640625" customWidth="1"/>
    <col min="9" max="9" width="13.33203125" customWidth="1"/>
    <col min="10" max="10" width="11" customWidth="1"/>
    <col min="13" max="13" width="12.77734375" customWidth="1"/>
  </cols>
  <sheetData>
    <row r="2" spans="2:14" ht="15" thickBot="1" x14ac:dyDescent="0.35">
      <c r="M2" t="s">
        <v>25</v>
      </c>
    </row>
    <row r="3" spans="2:14" ht="15" thickBot="1" x14ac:dyDescent="0.35">
      <c r="B3" s="69" t="s">
        <v>0</v>
      </c>
      <c r="C3" s="70"/>
      <c r="D3" s="17">
        <v>20243.48</v>
      </c>
      <c r="F3" s="3">
        <f>F8*(86.9565333333333/100)</f>
        <v>20243.48095999999</v>
      </c>
      <c r="H3" s="17">
        <f>'Presupuesto Ejecucion'!D17</f>
        <v>20243.477999999999</v>
      </c>
      <c r="I3">
        <f>'Presupuesto Ejecucion'!D14</f>
        <v>5808.7</v>
      </c>
      <c r="J3">
        <f>I3*(86.9565333333333/100)</f>
        <v>5051.0441517333311</v>
      </c>
      <c r="K3" s="33">
        <v>5808.7</v>
      </c>
      <c r="M3" s="32" t="s">
        <v>26</v>
      </c>
      <c r="N3">
        <f>K3/2</f>
        <v>2904.35</v>
      </c>
    </row>
    <row r="4" spans="2:14" x14ac:dyDescent="0.3">
      <c r="B4" s="11" t="s">
        <v>1</v>
      </c>
      <c r="C4" s="2">
        <v>98</v>
      </c>
      <c r="D4" s="1">
        <f>D3*(C4/100)</f>
        <v>19838.610399999998</v>
      </c>
      <c r="F4" s="1">
        <f>F$3*(C4/100)</f>
        <v>19838.611340799991</v>
      </c>
      <c r="H4" s="1">
        <f>H3*(C4/100)</f>
        <v>19838.60844</v>
      </c>
      <c r="I4">
        <f>'Presupuesto Ejecucion'!D15</f>
        <v>260.86799999999999</v>
      </c>
      <c r="J4">
        <f t="shared" ref="J4:J5" si="0">I4*(86.9565333333333/100)</f>
        <v>226.84176937599989</v>
      </c>
      <c r="K4" s="33">
        <v>260.87</v>
      </c>
      <c r="M4" s="32" t="s">
        <v>28</v>
      </c>
      <c r="N4">
        <f>K3/2</f>
        <v>2904.35</v>
      </c>
    </row>
    <row r="5" spans="2:14" ht="15" thickBot="1" x14ac:dyDescent="0.35">
      <c r="B5" s="12" t="s">
        <v>2</v>
      </c>
      <c r="C5" s="2">
        <v>2</v>
      </c>
      <c r="D5" s="1">
        <f>D3*(C5/100)</f>
        <v>404.86959999999999</v>
      </c>
      <c r="F5" s="1">
        <f>F$3*(C5/100)</f>
        <v>404.86961919999982</v>
      </c>
      <c r="H5" s="1">
        <f>H3*(C5/100)</f>
        <v>404.86955999999998</v>
      </c>
      <c r="I5">
        <f>'Presupuesto Ejecucion'!D16</f>
        <v>14173.91</v>
      </c>
      <c r="J5">
        <f t="shared" si="0"/>
        <v>12325.140773786661</v>
      </c>
      <c r="K5" s="33">
        <v>14173.914933333328</v>
      </c>
      <c r="M5" t="s">
        <v>27</v>
      </c>
    </row>
    <row r="6" spans="2:14" x14ac:dyDescent="0.3">
      <c r="B6" s="13" t="s">
        <v>3</v>
      </c>
      <c r="C6" s="2">
        <v>9</v>
      </c>
      <c r="D6" s="3">
        <f>D3*C6/100</f>
        <v>1821.9132</v>
      </c>
      <c r="F6" s="1">
        <f>F$3*(C6/100)</f>
        <v>1821.9132863999989</v>
      </c>
      <c r="H6" s="3">
        <f>H3*C6/100</f>
        <v>1821.91302</v>
      </c>
      <c r="M6" t="s">
        <v>32</v>
      </c>
      <c r="N6">
        <f>J4/3</f>
        <v>75.613923125333301</v>
      </c>
    </row>
    <row r="7" spans="2:14" x14ac:dyDescent="0.3">
      <c r="B7" s="14" t="s">
        <v>4</v>
      </c>
      <c r="C7" s="2">
        <v>6</v>
      </c>
      <c r="D7" s="4">
        <f>D3*C7/100</f>
        <v>1214.6088</v>
      </c>
      <c r="F7" s="1">
        <f>F$3*(C7/100)</f>
        <v>1214.6088575999993</v>
      </c>
      <c r="H7" s="4">
        <f>H3*C7/100</f>
        <v>1214.6086799999998</v>
      </c>
      <c r="M7" t="s">
        <v>33</v>
      </c>
    </row>
    <row r="8" spans="2:14" x14ac:dyDescent="0.3">
      <c r="B8" s="13" t="s">
        <v>7</v>
      </c>
      <c r="C8" s="5"/>
      <c r="D8" s="4">
        <f>SUM(D3,D6,D7)</f>
        <v>23280.002</v>
      </c>
      <c r="F8" s="16">
        <v>23280</v>
      </c>
      <c r="H8" s="4">
        <f>SUM(H3,H6,H7)</f>
        <v>23279.9997</v>
      </c>
      <c r="M8" t="s">
        <v>34</v>
      </c>
      <c r="N8" s="33">
        <f>K5</f>
        <v>14173.914933333328</v>
      </c>
    </row>
    <row r="9" spans="2:14" ht="15" thickBot="1" x14ac:dyDescent="0.35">
      <c r="B9" s="15" t="s">
        <v>5</v>
      </c>
      <c r="C9" s="6"/>
      <c r="D9" s="7">
        <f>D8*0.21</f>
        <v>4888.8004199999996</v>
      </c>
      <c r="F9" s="7">
        <f>F8*0.21</f>
        <v>4888.8</v>
      </c>
      <c r="H9" s="7">
        <f>H8*0.21</f>
        <v>4888.7999369999998</v>
      </c>
    </row>
    <row r="10" spans="2:14" ht="16.2" thickBot="1" x14ac:dyDescent="0.35">
      <c r="B10" s="8" t="s">
        <v>6</v>
      </c>
      <c r="C10" s="9"/>
      <c r="D10" s="10">
        <f>+D8+D9</f>
        <v>28168.80242</v>
      </c>
      <c r="F10" s="10">
        <f>F8+F9</f>
        <v>28168.799999999999</v>
      </c>
      <c r="H10" s="10">
        <f>+H8+H9</f>
        <v>28168.799637</v>
      </c>
    </row>
    <row r="12" spans="2:14" ht="14.55" customHeight="1" x14ac:dyDescent="0.3">
      <c r="B12" s="71" t="s">
        <v>8</v>
      </c>
      <c r="C12" s="71"/>
      <c r="D12" s="71"/>
      <c r="E12" s="71"/>
      <c r="F12" s="71"/>
    </row>
  </sheetData>
  <mergeCells count="2">
    <mergeCell ref="B3:C3"/>
    <mergeCell ref="B12:F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080B9-9DD7-4508-B39E-4C18E59371AF}">
  <dimension ref="C3:I22"/>
  <sheetViews>
    <sheetView showGridLines="0" showRowColHeaders="0" tabSelected="1" zoomScale="70" zoomScaleNormal="70" workbookViewId="0">
      <selection activeCell="H19" sqref="H19"/>
    </sheetView>
  </sheetViews>
  <sheetFormatPr baseColWidth="10" defaultColWidth="11.5546875" defaultRowHeight="14.4" x14ac:dyDescent="0.3"/>
  <cols>
    <col min="1" max="1" width="2.6640625" customWidth="1"/>
    <col min="2" max="2" width="21.88671875" customWidth="1"/>
    <col min="3" max="3" width="48.88671875" bestFit="1" customWidth="1"/>
    <col min="4" max="4" width="2.44140625" customWidth="1"/>
    <col min="5" max="5" width="28.6640625" customWidth="1"/>
    <col min="6" max="6" width="16" bestFit="1" customWidth="1"/>
    <col min="7" max="7" width="48.88671875" bestFit="1" customWidth="1"/>
    <col min="8" max="8" width="2.44140625" customWidth="1"/>
    <col min="9" max="9" width="28.6640625" customWidth="1"/>
  </cols>
  <sheetData>
    <row r="3" spans="3:9" ht="14.4" customHeight="1" x14ac:dyDescent="0.3"/>
    <row r="4" spans="3:9" ht="14.4" customHeight="1" x14ac:dyDescent="0.3">
      <c r="C4" s="72" t="s">
        <v>20</v>
      </c>
      <c r="D4" s="72"/>
      <c r="E4" s="72"/>
      <c r="G4" s="72" t="s">
        <v>21</v>
      </c>
      <c r="H4" s="72"/>
      <c r="I4" s="72"/>
    </row>
    <row r="5" spans="3:9" ht="14.4" customHeight="1" x14ac:dyDescent="0.3">
      <c r="C5" s="72"/>
      <c r="D5" s="72"/>
      <c r="E5" s="72"/>
      <c r="G5" s="72"/>
      <c r="H5" s="72"/>
      <c r="I5" s="72"/>
    </row>
    <row r="6" spans="3:9" ht="14.4" customHeight="1" x14ac:dyDescent="0.3">
      <c r="C6" s="72"/>
      <c r="D6" s="72"/>
      <c r="E6" s="72"/>
      <c r="G6" s="72"/>
      <c r="H6" s="72"/>
      <c r="I6" s="72"/>
    </row>
    <row r="7" spans="3:9" ht="2.4" customHeight="1" x14ac:dyDescent="0.3">
      <c r="C7" s="72"/>
      <c r="D7" s="72"/>
      <c r="E7" s="72"/>
      <c r="G7" s="72"/>
      <c r="H7" s="72"/>
      <c r="I7" s="72"/>
    </row>
    <row r="9" spans="3:9" ht="24" customHeight="1" x14ac:dyDescent="0.3">
      <c r="C9" s="73" t="str">
        <f>'Presupuesto Ejecucion'!C13</f>
        <v>MNTO. EQUIPOS DE INSPECCIÓN</v>
      </c>
      <c r="D9" s="74"/>
      <c r="E9" s="74"/>
      <c r="G9" s="73" t="str">
        <f>C9</f>
        <v>MNTO. EQUIPOS DE INSPECCIÓN</v>
      </c>
      <c r="H9" s="74"/>
      <c r="I9" s="74"/>
    </row>
    <row r="10" spans="3:9" ht="24" customHeight="1" thickBot="1" x14ac:dyDescent="0.35"/>
    <row r="11" spans="3:9" ht="40.950000000000003" customHeight="1" thickBot="1" x14ac:dyDescent="0.35">
      <c r="C11" s="75" t="s">
        <v>22</v>
      </c>
      <c r="D11" s="76"/>
      <c r="E11" s="21" t="str">
        <f>C9</f>
        <v>MNTO. EQUIPOS DE INSPECCIÓN</v>
      </c>
      <c r="G11" s="75" t="s">
        <v>22</v>
      </c>
      <c r="H11" s="76"/>
      <c r="I11" s="21" t="str">
        <f>'Presupuesto Ejecucion'!J13</f>
        <v>MNTO. EQUIPOS DE INSPECCIÓN</v>
      </c>
    </row>
    <row r="12" spans="3:9" x14ac:dyDescent="0.3">
      <c r="C12" s="77" t="str">
        <f>'Presupuesto Ejecucion'!C14</f>
        <v>1.- Arcos Detectores de Metales</v>
      </c>
      <c r="D12" s="78"/>
      <c r="E12" s="23">
        <f>'Presupuesto Ejecucion'!D14</f>
        <v>5808.7</v>
      </c>
      <c r="G12" s="77" t="str">
        <f>'Presupuesto Ejecucion'!J14</f>
        <v>1.- Arcos Detectores de Metales</v>
      </c>
      <c r="H12" s="78"/>
      <c r="I12" s="22">
        <f>'Presupuesto Ejecucion'!K14</f>
        <v>0</v>
      </c>
    </row>
    <row r="13" spans="3:9" x14ac:dyDescent="0.3">
      <c r="C13" s="79" t="str">
        <f>'Presupuesto Ejecucion'!C15</f>
        <v>2.- Detectores de Metales Portátiles</v>
      </c>
      <c r="D13" s="80"/>
      <c r="E13" s="23">
        <f>'Presupuesto Ejecucion'!D15</f>
        <v>260.86799999999999</v>
      </c>
      <c r="G13" s="79" t="str">
        <f>'Presupuesto Ejecucion'!J15</f>
        <v>2.- Detectores de Metales Portátiles</v>
      </c>
      <c r="H13" s="80"/>
      <c r="I13" s="23">
        <f>'Presupuesto Ejecucion'!K15</f>
        <v>0</v>
      </c>
    </row>
    <row r="14" spans="3:9" ht="15" thickBot="1" x14ac:dyDescent="0.35">
      <c r="C14" s="79" t="str">
        <f>'Presupuesto Ejecucion'!C16</f>
        <v>3.- Detector de Trazas de Narcóticos y Explosivos</v>
      </c>
      <c r="D14" s="80"/>
      <c r="E14" s="23">
        <f>'Presupuesto Ejecucion'!D16</f>
        <v>14173.91</v>
      </c>
      <c r="G14" s="79" t="str">
        <f>'Presupuesto Ejecucion'!J16</f>
        <v>3.- Detector de Trazas de Narcóticos y Explosivos</v>
      </c>
      <c r="H14" s="80"/>
      <c r="I14" s="23">
        <f>'Presupuesto Ejecucion'!K16</f>
        <v>0</v>
      </c>
    </row>
    <row r="15" spans="3:9" ht="15.75" customHeight="1" thickBot="1" x14ac:dyDescent="0.35">
      <c r="C15" s="69" t="s">
        <v>0</v>
      </c>
      <c r="D15" s="70"/>
      <c r="E15" s="24">
        <f>SUM(E12:E14)</f>
        <v>20243.477999999999</v>
      </c>
      <c r="F15" s="25"/>
      <c r="G15" s="69" t="s">
        <v>0</v>
      </c>
      <c r="H15" s="70"/>
      <c r="I15" s="24">
        <f>SUM(I12:I14)</f>
        <v>0</v>
      </c>
    </row>
    <row r="16" spans="3:9" ht="30.75" hidden="1" customHeight="1" thickBot="1" x14ac:dyDescent="0.35">
      <c r="C16" s="26" t="s">
        <v>1</v>
      </c>
      <c r="D16" s="27"/>
      <c r="E16" s="28">
        <f>E15*0.98</f>
        <v>19838.60844</v>
      </c>
      <c r="G16" s="26" t="s">
        <v>1</v>
      </c>
      <c r="H16" s="27"/>
      <c r="I16" s="28">
        <f>I15*0.98</f>
        <v>0</v>
      </c>
    </row>
    <row r="17" spans="3:9" ht="45.75" hidden="1" customHeight="1" thickBot="1" x14ac:dyDescent="0.35">
      <c r="C17" s="29" t="s">
        <v>2</v>
      </c>
      <c r="D17" s="30"/>
      <c r="E17" s="1">
        <f>E15*0.02</f>
        <v>404.86955999999998</v>
      </c>
      <c r="G17" s="29" t="s">
        <v>2</v>
      </c>
      <c r="H17" s="30"/>
      <c r="I17" s="1">
        <f>I15*0.02</f>
        <v>0</v>
      </c>
    </row>
    <row r="18" spans="3:9" x14ac:dyDescent="0.3">
      <c r="C18" s="31" t="s">
        <v>3</v>
      </c>
      <c r="D18" s="95">
        <v>9</v>
      </c>
      <c r="E18" s="3">
        <f>E15*D18/100</f>
        <v>1821.91302</v>
      </c>
      <c r="G18" s="31" t="s">
        <v>3</v>
      </c>
      <c r="H18" s="2">
        <v>9</v>
      </c>
      <c r="I18" s="3">
        <f>I15*H18/100</f>
        <v>0</v>
      </c>
    </row>
    <row r="19" spans="3:9" x14ac:dyDescent="0.3">
      <c r="C19" s="27" t="s">
        <v>4</v>
      </c>
      <c r="D19" s="95">
        <v>6</v>
      </c>
      <c r="E19" s="4">
        <f>E15*D19/100</f>
        <v>1214.6086799999998</v>
      </c>
      <c r="G19" s="27" t="s">
        <v>4</v>
      </c>
      <c r="H19" s="2">
        <v>6</v>
      </c>
      <c r="I19" s="4">
        <f>I15*H19/100</f>
        <v>0</v>
      </c>
    </row>
    <row r="20" spans="3:9" x14ac:dyDescent="0.3">
      <c r="C20" s="31" t="s">
        <v>11</v>
      </c>
      <c r="D20" s="5"/>
      <c r="E20" s="4">
        <f>SUM(E15,E18,E19)</f>
        <v>23279.9997</v>
      </c>
      <c r="G20" s="31" t="s">
        <v>11</v>
      </c>
      <c r="H20" s="5"/>
      <c r="I20" s="4">
        <f>SUM(I15,I18,I19)</f>
        <v>0</v>
      </c>
    </row>
    <row r="21" spans="3:9" ht="15" thickBot="1" x14ac:dyDescent="0.35">
      <c r="C21" s="30" t="s">
        <v>5</v>
      </c>
      <c r="D21" s="6"/>
      <c r="E21" s="7">
        <f>E20*0.21</f>
        <v>4888.7999369999998</v>
      </c>
      <c r="G21" s="30" t="s">
        <v>5</v>
      </c>
      <c r="H21" s="6"/>
      <c r="I21" s="7">
        <f>I20*0.21</f>
        <v>0</v>
      </c>
    </row>
    <row r="22" spans="3:9" ht="16.2" thickBot="1" x14ac:dyDescent="0.35">
      <c r="C22" s="8" t="s">
        <v>6</v>
      </c>
      <c r="D22" s="9"/>
      <c r="E22" s="10">
        <f>+E20+E21</f>
        <v>28168.799637</v>
      </c>
      <c r="G22" s="8" t="s">
        <v>6</v>
      </c>
      <c r="H22" s="9"/>
      <c r="I22" s="10">
        <f>+I20+I21</f>
        <v>0</v>
      </c>
    </row>
  </sheetData>
  <sheetProtection algorithmName="SHA-512" hashValue="ZZnE+l3VWyGgQccO4ZgjipzrcJGyKmK6io/WDbepHL4ZLGbZukaG+/uM2e0faTifVvnfitn0FwW23EB/l+lf1g==" saltValue="1vyUNgrauQOJ5p8PbFwUfg==" spinCount="100000" sheet="1" selectLockedCells="1"/>
  <mergeCells count="14">
    <mergeCell ref="C15:D15"/>
    <mergeCell ref="G15:H15"/>
    <mergeCell ref="C12:D12"/>
    <mergeCell ref="G12:H12"/>
    <mergeCell ref="C13:D13"/>
    <mergeCell ref="G13:H13"/>
    <mergeCell ref="C14:D14"/>
    <mergeCell ref="G14:H14"/>
    <mergeCell ref="C4:E7"/>
    <mergeCell ref="G4:I7"/>
    <mergeCell ref="C9:E9"/>
    <mergeCell ref="G9:I9"/>
    <mergeCell ref="C11:D11"/>
    <mergeCell ref="G11:H1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69949-5C29-4D39-82A2-3E9844B89458}">
  <dimension ref="A3:M37"/>
  <sheetViews>
    <sheetView showGridLines="0" showRowColHeaders="0" zoomScale="70" zoomScaleNormal="70" workbookViewId="0">
      <selection activeCell="L33" activeCellId="2" sqref="L22:L23 L28 L33"/>
    </sheetView>
  </sheetViews>
  <sheetFormatPr baseColWidth="10" defaultColWidth="11.5546875" defaultRowHeight="14.4" x14ac:dyDescent="0.3"/>
  <cols>
    <col min="1" max="1" width="7.5546875" customWidth="1"/>
    <col min="2" max="2" width="3" bestFit="1" customWidth="1"/>
    <col min="3" max="3" width="48.77734375" customWidth="1"/>
    <col min="4" max="4" width="21.5546875" bestFit="1" customWidth="1"/>
    <col min="5" max="5" width="11.33203125" customWidth="1"/>
    <col min="6" max="6" width="14.88671875" bestFit="1" customWidth="1"/>
    <col min="9" max="9" width="6.33203125" customWidth="1"/>
    <col min="10" max="10" width="48.88671875" bestFit="1" customWidth="1"/>
    <col min="11" max="11" width="21.5546875" bestFit="1" customWidth="1"/>
    <col min="12" max="12" width="16" bestFit="1" customWidth="1"/>
    <col min="13" max="13" width="14.33203125" bestFit="1" customWidth="1"/>
  </cols>
  <sheetData>
    <row r="3" spans="1:13" ht="14.4" customHeight="1" x14ac:dyDescent="0.3">
      <c r="D3" s="81" t="s">
        <v>23</v>
      </c>
      <c r="E3" s="82"/>
      <c r="F3" s="82"/>
      <c r="G3" s="82"/>
      <c r="H3" s="82"/>
      <c r="I3" s="82"/>
      <c r="J3" s="82"/>
      <c r="L3" s="35"/>
    </row>
    <row r="4" spans="1:13" ht="14.4" customHeight="1" x14ac:dyDescent="0.3">
      <c r="D4" s="81"/>
      <c r="E4" s="82"/>
      <c r="F4" s="82"/>
      <c r="G4" s="82"/>
      <c r="H4" s="82"/>
      <c r="I4" s="82"/>
      <c r="J4" s="82"/>
      <c r="L4" s="35"/>
    </row>
    <row r="5" spans="1:13" ht="14.4" customHeight="1" x14ac:dyDescent="0.3">
      <c r="D5" s="81"/>
      <c r="E5" s="82"/>
      <c r="F5" s="82"/>
      <c r="G5" s="82"/>
      <c r="H5" s="82"/>
      <c r="I5" s="82"/>
      <c r="J5" s="82"/>
      <c r="L5" s="35"/>
    </row>
    <row r="6" spans="1:13" ht="14.4" customHeight="1" x14ac:dyDescent="0.3">
      <c r="D6" s="81"/>
      <c r="E6" s="82"/>
      <c r="F6" s="82"/>
      <c r="G6" s="82"/>
      <c r="H6" s="82"/>
      <c r="I6" s="82"/>
      <c r="J6" s="82"/>
      <c r="L6" s="35"/>
    </row>
    <row r="7" spans="1:13" ht="14.4" customHeight="1" x14ac:dyDescent="0.3">
      <c r="L7" s="35"/>
    </row>
    <row r="8" spans="1:13" ht="14.4" customHeight="1" x14ac:dyDescent="0.3">
      <c r="E8" s="35"/>
      <c r="F8" s="35"/>
      <c r="G8" s="35"/>
      <c r="H8" s="35"/>
      <c r="I8" s="35"/>
      <c r="J8" s="35"/>
      <c r="K8" s="35"/>
      <c r="L8" s="35"/>
    </row>
    <row r="9" spans="1:13" ht="17.399999999999999" x14ac:dyDescent="0.3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1" spans="1:13" ht="22.95" customHeight="1" x14ac:dyDescent="0.3">
      <c r="C11" s="84" t="s">
        <v>9</v>
      </c>
      <c r="D11" s="85"/>
      <c r="J11" s="84" t="s">
        <v>10</v>
      </c>
      <c r="K11" s="85"/>
    </row>
    <row r="13" spans="1:13" x14ac:dyDescent="0.3">
      <c r="C13" s="36" t="s">
        <v>24</v>
      </c>
      <c r="D13" s="36" t="s">
        <v>11</v>
      </c>
      <c r="J13" s="36" t="str">
        <f>C13</f>
        <v>MNTO. EQUIPOS DE INSPECCIÓN</v>
      </c>
      <c r="K13" s="36" t="s">
        <v>12</v>
      </c>
    </row>
    <row r="14" spans="1:13" x14ac:dyDescent="0.3">
      <c r="C14" s="37" t="str">
        <f>A20</f>
        <v>1.- Arcos Detectores de Metales</v>
      </c>
      <c r="D14" s="18">
        <f>F24</f>
        <v>5808.7</v>
      </c>
      <c r="J14" s="37" t="str">
        <f>C14</f>
        <v>1.- Arcos Detectores de Metales</v>
      </c>
      <c r="K14" s="18">
        <f>M24</f>
        <v>0</v>
      </c>
    </row>
    <row r="15" spans="1:13" x14ac:dyDescent="0.3">
      <c r="C15" s="37" t="str">
        <f>A26</f>
        <v>2.- Detectores de Metales Portátiles</v>
      </c>
      <c r="D15" s="18">
        <f>F29</f>
        <v>260.86799999999999</v>
      </c>
      <c r="J15" s="37" t="str">
        <f>C15</f>
        <v>2.- Detectores de Metales Portátiles</v>
      </c>
      <c r="K15" s="18">
        <f>M29</f>
        <v>0</v>
      </c>
    </row>
    <row r="16" spans="1:13" x14ac:dyDescent="0.3">
      <c r="C16" s="37" t="str">
        <f>A31</f>
        <v>3.- Detector de Trazas de Narcóticos y Explosivos</v>
      </c>
      <c r="D16" s="19">
        <f>F34</f>
        <v>14173.91</v>
      </c>
      <c r="J16" s="37" t="str">
        <f>C16</f>
        <v>3.- Detector de Trazas de Narcóticos y Explosivos</v>
      </c>
      <c r="K16" s="19">
        <f>M34</f>
        <v>0</v>
      </c>
    </row>
    <row r="17" spans="1:13" ht="15.6" x14ac:dyDescent="0.3">
      <c r="C17" s="38" t="s">
        <v>13</v>
      </c>
      <c r="D17" s="39">
        <f>+SUM(D14:D16)</f>
        <v>20243.477999999999</v>
      </c>
      <c r="J17" s="38" t="s">
        <v>13</v>
      </c>
      <c r="K17" s="39">
        <f>+SUM(K14:K16)</f>
        <v>0</v>
      </c>
    </row>
    <row r="19" spans="1:13" x14ac:dyDescent="0.3">
      <c r="A19" s="40"/>
      <c r="B19" s="40"/>
      <c r="C19" s="41"/>
      <c r="D19" s="41"/>
      <c r="E19" s="41"/>
      <c r="F19" s="41"/>
    </row>
    <row r="20" spans="1:13" ht="14.4" customHeight="1" x14ac:dyDescent="0.3">
      <c r="A20" s="86" t="s">
        <v>25</v>
      </c>
      <c r="B20" s="87"/>
      <c r="C20" s="88"/>
      <c r="D20" s="42"/>
      <c r="E20" s="42"/>
      <c r="F20" s="43"/>
      <c r="H20" s="86" t="str">
        <f>A20</f>
        <v>1.- Arcos Detectores de Metales</v>
      </c>
      <c r="I20" s="87"/>
      <c r="J20" s="88"/>
      <c r="K20" s="44"/>
      <c r="L20" s="42"/>
      <c r="M20" s="42"/>
    </row>
    <row r="21" spans="1:13" ht="26.4" customHeight="1" x14ac:dyDescent="0.3">
      <c r="A21" s="89" t="s">
        <v>14</v>
      </c>
      <c r="B21" s="89"/>
      <c r="C21" s="34" t="s">
        <v>15</v>
      </c>
      <c r="D21" s="34" t="s">
        <v>37</v>
      </c>
      <c r="E21" s="45" t="s">
        <v>16</v>
      </c>
      <c r="F21" s="36" t="s">
        <v>17</v>
      </c>
      <c r="H21" s="89" t="s">
        <v>14</v>
      </c>
      <c r="I21" s="89"/>
      <c r="J21" s="34" t="str">
        <f>C21</f>
        <v>Descripción</v>
      </c>
      <c r="K21" s="34" t="str">
        <f>D21</f>
        <v>Referencia 
(modelo o equivalente)</v>
      </c>
      <c r="L21" s="45" t="str">
        <f>E21</f>
        <v>P/U</v>
      </c>
      <c r="M21" s="36" t="str">
        <f>F21</f>
        <v>Subtotal</v>
      </c>
    </row>
    <row r="22" spans="1:13" ht="52.8" x14ac:dyDescent="0.3">
      <c r="A22" s="46">
        <v>1</v>
      </c>
      <c r="B22" s="47" t="s">
        <v>18</v>
      </c>
      <c r="C22" s="48" t="s">
        <v>29</v>
      </c>
      <c r="D22" s="49" t="s">
        <v>26</v>
      </c>
      <c r="E22" s="50">
        <v>2904.35</v>
      </c>
      <c r="F22" s="50">
        <f>E22*A22</f>
        <v>2904.35</v>
      </c>
      <c r="H22" s="51">
        <f>A22</f>
        <v>1</v>
      </c>
      <c r="I22" s="52" t="s">
        <v>18</v>
      </c>
      <c r="J22" s="53" t="str">
        <f>C22</f>
        <v>Servicio de mantenimiento Todo Riesgo, preventivo y correctivo, para arcos detectores de metales. Duración cuatro (4) años. Marca: CEIA. Modelo: HI-PE Plus. 
(s/n: 33060040089)</v>
      </c>
      <c r="K22" s="53" t="str">
        <f>D22</f>
        <v>HI-PE Plus</v>
      </c>
      <c r="L22" s="20">
        <v>0</v>
      </c>
      <c r="M22" s="54">
        <f t="shared" ref="M22" si="0">+L22*H22</f>
        <v>0</v>
      </c>
    </row>
    <row r="23" spans="1:13" ht="52.8" x14ac:dyDescent="0.3">
      <c r="A23" s="46">
        <v>1</v>
      </c>
      <c r="B23" s="47" t="s">
        <v>18</v>
      </c>
      <c r="C23" s="48" t="s">
        <v>30</v>
      </c>
      <c r="D23" s="32" t="s">
        <v>28</v>
      </c>
      <c r="E23" s="55">
        <v>2904.35</v>
      </c>
      <c r="F23" s="55">
        <f>E23*A23</f>
        <v>2904.35</v>
      </c>
      <c r="H23" s="51">
        <f>A23</f>
        <v>1</v>
      </c>
      <c r="I23" s="52" t="s">
        <v>18</v>
      </c>
      <c r="J23" s="53" t="str">
        <f>C23</f>
        <v>Servicio de mantenimiento Todo Riesgo, preventivo y correctivo, para arcos detectores de metales. Duración cuatro (4) años. Marca: CEIA. Modelo: Classic. 
(s/n: 31060490084)</v>
      </c>
      <c r="K23" s="53" t="str">
        <f>D23</f>
        <v>Classic</v>
      </c>
      <c r="L23" s="20">
        <v>0</v>
      </c>
      <c r="M23" s="54">
        <f t="shared" ref="M23" si="1">+L23*H23</f>
        <v>0</v>
      </c>
    </row>
    <row r="24" spans="1:13" x14ac:dyDescent="0.3">
      <c r="A24" s="56"/>
      <c r="B24" s="56"/>
      <c r="C24" s="57"/>
      <c r="D24" s="57"/>
      <c r="E24" s="58" t="s">
        <v>19</v>
      </c>
      <c r="F24" s="59">
        <f>SUM(F21:F23)</f>
        <v>5808.7</v>
      </c>
      <c r="H24" s="56"/>
      <c r="I24" s="56"/>
      <c r="J24" s="57"/>
      <c r="K24" s="57"/>
      <c r="L24" s="58" t="s">
        <v>19</v>
      </c>
      <c r="M24" s="59">
        <f>SUM(M22:M23)</f>
        <v>0</v>
      </c>
    </row>
    <row r="25" spans="1:13" x14ac:dyDescent="0.3">
      <c r="A25" s="40"/>
      <c r="B25" s="40"/>
      <c r="C25" s="41"/>
      <c r="D25" s="41"/>
      <c r="E25" s="41"/>
      <c r="F25" s="41"/>
      <c r="H25" s="40"/>
      <c r="I25" s="40"/>
      <c r="J25" s="41"/>
      <c r="K25" s="41"/>
      <c r="L25" s="41"/>
      <c r="M25" s="41"/>
    </row>
    <row r="26" spans="1:13" ht="14.4" customHeight="1" x14ac:dyDescent="0.3">
      <c r="A26" s="86" t="s">
        <v>27</v>
      </c>
      <c r="B26" s="87"/>
      <c r="C26" s="88"/>
      <c r="D26" s="42"/>
      <c r="E26" s="42"/>
      <c r="F26" s="43"/>
      <c r="H26" s="60" t="str">
        <f>A26</f>
        <v>2.- Detectores de Metales Portátiles</v>
      </c>
      <c r="I26" s="61"/>
      <c r="J26" s="62"/>
      <c r="K26" s="63"/>
      <c r="L26" s="42"/>
      <c r="M26" s="42"/>
    </row>
    <row r="27" spans="1:13" ht="26.4" customHeight="1" x14ac:dyDescent="0.3">
      <c r="A27" s="89" t="s">
        <v>14</v>
      </c>
      <c r="B27" s="89"/>
      <c r="C27" s="34" t="s">
        <v>15</v>
      </c>
      <c r="D27" s="34" t="s">
        <v>37</v>
      </c>
      <c r="E27" s="45" t="s">
        <v>16</v>
      </c>
      <c r="F27" s="36" t="s">
        <v>11</v>
      </c>
      <c r="H27" s="90" t="s">
        <v>14</v>
      </c>
      <c r="I27" s="91"/>
      <c r="J27" s="34" t="str">
        <f>C27</f>
        <v>Descripción</v>
      </c>
      <c r="K27" s="34" t="str">
        <f>D27</f>
        <v>Referencia 
(modelo o equivalente)</v>
      </c>
      <c r="L27" s="45" t="str">
        <f>E27</f>
        <v>P/U</v>
      </c>
      <c r="M27" s="36" t="str">
        <f>F27</f>
        <v>TOTAL</v>
      </c>
    </row>
    <row r="28" spans="1:13" ht="54" customHeight="1" x14ac:dyDescent="0.3">
      <c r="A28" s="46">
        <v>3</v>
      </c>
      <c r="B28" s="47" t="s">
        <v>18</v>
      </c>
      <c r="C28" s="48" t="s">
        <v>31</v>
      </c>
      <c r="D28" s="64" t="s">
        <v>32</v>
      </c>
      <c r="E28" s="65">
        <v>86.956000000000003</v>
      </c>
      <c r="F28" s="65">
        <f t="shared" ref="F28" si="2">A28*E28</f>
        <v>260.86799999999999</v>
      </c>
      <c r="H28" s="51">
        <f>A28</f>
        <v>3</v>
      </c>
      <c r="I28" s="52" t="s">
        <v>18</v>
      </c>
      <c r="J28" s="53" t="str">
        <f>C28</f>
        <v>Servicio de mantenimiento Todo Riesgo, preventivo y correctivo, para detectores de metales portátiles. Duración cuatro (4) años. Marca: CEIA. Modelo: PD140N. 
(s/n: 31100020586) (s/n: 31100020586)(s/n: 31100020586)</v>
      </c>
      <c r="K28" s="53" t="str">
        <f>D28</f>
        <v>PD140N</v>
      </c>
      <c r="L28" s="20">
        <v>0</v>
      </c>
      <c r="M28" s="54">
        <f t="shared" ref="M28" si="3">+L28*H28</f>
        <v>0</v>
      </c>
    </row>
    <row r="29" spans="1:13" x14ac:dyDescent="0.3">
      <c r="A29" s="56"/>
      <c r="B29" s="56"/>
      <c r="C29" s="57"/>
      <c r="D29" s="57"/>
      <c r="E29" s="58" t="s">
        <v>19</v>
      </c>
      <c r="F29" s="59">
        <f>SUM(F28:F28)</f>
        <v>260.86799999999999</v>
      </c>
      <c r="H29" s="56"/>
      <c r="I29" s="56"/>
      <c r="J29" s="57"/>
      <c r="K29" s="57"/>
      <c r="L29" s="58" t="s">
        <v>19</v>
      </c>
      <c r="M29" s="59">
        <f>SUM(M28:M28)</f>
        <v>0</v>
      </c>
    </row>
    <row r="30" spans="1:13" x14ac:dyDescent="0.3">
      <c r="A30" s="40"/>
      <c r="B30" s="40"/>
      <c r="C30" s="41"/>
      <c r="D30" s="41"/>
      <c r="E30" s="41"/>
      <c r="F30" s="41"/>
    </row>
    <row r="31" spans="1:13" ht="14.4" customHeight="1" x14ac:dyDescent="0.3">
      <c r="A31" s="86" t="s">
        <v>33</v>
      </c>
      <c r="B31" s="87"/>
      <c r="C31" s="88"/>
      <c r="D31" s="42"/>
      <c r="E31" s="42"/>
      <c r="F31" s="43"/>
      <c r="H31" s="60" t="str">
        <f>A31</f>
        <v>3.- Detector de Trazas de Narcóticos y Explosivos</v>
      </c>
      <c r="I31" s="61"/>
      <c r="J31" s="62"/>
      <c r="K31" s="63"/>
      <c r="L31" s="42"/>
      <c r="M31" s="42"/>
    </row>
    <row r="32" spans="1:13" ht="26.4" customHeight="1" x14ac:dyDescent="0.3">
      <c r="A32" s="89" t="s">
        <v>14</v>
      </c>
      <c r="B32" s="89"/>
      <c r="C32" s="34" t="s">
        <v>15</v>
      </c>
      <c r="D32" s="34" t="s">
        <v>37</v>
      </c>
      <c r="E32" s="45" t="s">
        <v>16</v>
      </c>
      <c r="F32" s="36" t="s">
        <v>17</v>
      </c>
      <c r="H32" s="90" t="s">
        <v>14</v>
      </c>
      <c r="I32" s="91"/>
      <c r="J32" s="34" t="str">
        <f>C32</f>
        <v>Descripción</v>
      </c>
      <c r="K32" s="34" t="str">
        <f>D32</f>
        <v>Referencia 
(modelo o equivalente)</v>
      </c>
      <c r="L32" s="45" t="str">
        <f>E32</f>
        <v>P/U</v>
      </c>
      <c r="M32" s="36" t="str">
        <f>F32</f>
        <v>Subtotal</v>
      </c>
    </row>
    <row r="33" spans="1:13" ht="54" customHeight="1" x14ac:dyDescent="0.3">
      <c r="A33" s="46">
        <v>1</v>
      </c>
      <c r="B33" s="47" t="s">
        <v>18</v>
      </c>
      <c r="C33" s="66" t="s">
        <v>35</v>
      </c>
      <c r="D33" s="64" t="s">
        <v>34</v>
      </c>
      <c r="E33" s="65">
        <v>14173.91</v>
      </c>
      <c r="F33" s="65">
        <f>A33*E33</f>
        <v>14173.91</v>
      </c>
      <c r="H33" s="51">
        <f>A33</f>
        <v>1</v>
      </c>
      <c r="I33" s="52" t="s">
        <v>18</v>
      </c>
      <c r="J33" s="53" t="str">
        <f>C33</f>
        <v xml:space="preserve">Servicio de mantenimiento Todo Riesgo, preventivo y correctivo, para detector de narcóticos y explosivos. Duración cuatro (4) años. Marca: BRUKER. 
Modelo: DE-tector flex. (s/n: 1880000.00086). </v>
      </c>
      <c r="K33" s="53" t="str">
        <f>D33</f>
        <v>DE-tector flex</v>
      </c>
      <c r="L33" s="20">
        <v>0</v>
      </c>
      <c r="M33" s="54">
        <f t="shared" ref="M33" si="4">+L33*H33</f>
        <v>0</v>
      </c>
    </row>
    <row r="34" spans="1:13" x14ac:dyDescent="0.3">
      <c r="A34" s="56"/>
      <c r="B34" s="56"/>
      <c r="C34" s="57"/>
      <c r="D34" s="57"/>
      <c r="E34" s="58" t="s">
        <v>19</v>
      </c>
      <c r="F34" s="59">
        <f>SUM(F33:F33)</f>
        <v>14173.91</v>
      </c>
      <c r="H34" s="56"/>
      <c r="I34" s="56"/>
      <c r="J34" s="57"/>
      <c r="K34" s="57"/>
      <c r="L34" s="58" t="s">
        <v>19</v>
      </c>
      <c r="M34" s="59">
        <f>SUM(M33:M33)</f>
        <v>0</v>
      </c>
    </row>
    <row r="35" spans="1:13" x14ac:dyDescent="0.3">
      <c r="A35" s="40"/>
      <c r="B35" s="40"/>
      <c r="C35" s="41"/>
      <c r="D35" s="41"/>
      <c r="E35" s="41"/>
      <c r="F35" s="41"/>
    </row>
    <row r="36" spans="1:13" x14ac:dyDescent="0.3">
      <c r="A36" s="40"/>
      <c r="B36" s="40"/>
      <c r="C36" s="41"/>
      <c r="D36" s="41"/>
      <c r="E36" s="41"/>
      <c r="F36" s="41"/>
    </row>
    <row r="37" spans="1:13" ht="27" customHeight="1" x14ac:dyDescent="0.3">
      <c r="A37" s="92" t="s">
        <v>36</v>
      </c>
      <c r="B37" s="93"/>
      <c r="C37" s="93"/>
      <c r="D37" s="93"/>
      <c r="E37" s="94"/>
      <c r="F37" s="67">
        <f>+F24+F29+F34</f>
        <v>20243.477999999999</v>
      </c>
      <c r="H37" s="92" t="str">
        <f>A37</f>
        <v>TOTAL MANTENIMIENTO ÉQUIPOS DE INSPECCIÓN DE LA SEDE SOCIAL</v>
      </c>
      <c r="I37" s="93"/>
      <c r="J37" s="93"/>
      <c r="K37" s="93"/>
      <c r="L37" s="94"/>
      <c r="M37" s="68">
        <f>+M24+M29+M34</f>
        <v>0</v>
      </c>
    </row>
  </sheetData>
  <sheetProtection algorithmName="SHA-512" hashValue="TxtwWwAKFxEUE4goDQsLuxdhnfvmkR5sTb2kOf932keT4UQe72fBC2TabqViva4NzJryFF3CwwnPVjMqwiunPQ==" saltValue="RSs4H+RuWAFguIXSguz3Zw==" spinCount="100000" sheet="1" selectLockedCells="1"/>
  <mergeCells count="16">
    <mergeCell ref="A37:E37"/>
    <mergeCell ref="H37:L37"/>
    <mergeCell ref="H32:I32"/>
    <mergeCell ref="A31:C31"/>
    <mergeCell ref="A32:B32"/>
    <mergeCell ref="A21:B21"/>
    <mergeCell ref="H21:I21"/>
    <mergeCell ref="A26:C26"/>
    <mergeCell ref="A27:B27"/>
    <mergeCell ref="H27:I27"/>
    <mergeCell ref="D3:J6"/>
    <mergeCell ref="A9:M9"/>
    <mergeCell ref="C11:D11"/>
    <mergeCell ref="J11:K11"/>
    <mergeCell ref="A20:C20"/>
    <mergeCell ref="H20:J20"/>
  </mergeCells>
  <dataValidations disablePrompts="1" count="3">
    <dataValidation type="decimal" allowBlank="1" showErrorMessage="1" error="Introducir Precio Unitario" sqref="L20 L25:L26 L31" xr:uid="{21C5B4FA-2D66-45BC-80DE-F89F45F71190}">
      <formula1>1</formula1>
      <formula2>100000</formula2>
    </dataValidation>
    <dataValidation type="decimal" allowBlank="1" showInputMessage="1" showErrorMessage="1" error="Introducir Precio Unitario" sqref="L24" xr:uid="{7282DE11-BF3A-426E-B02E-3EFA9A2D0844}">
      <formula1>1</formula1>
      <formula2>100000</formula2>
    </dataValidation>
    <dataValidation type="whole" allowBlank="1" showInputMessage="1" showErrorMessage="1" error="Introducir Unidades" sqref="H21 H24:H25 H27 H32" xr:uid="{66E8C210-4BBC-4CE9-9480-0232A0A062CD}">
      <formula1>1</formula1>
      <formula2>1000</formula2>
    </dataValidation>
  </dataValidations>
  <pageMargins left="0.7" right="0.7" top="0.75" bottom="0.75" header="0.3" footer="0.3"/>
  <pageSetup paperSize="9" orientation="portrait" r:id="rId1"/>
  <ignoredErrors>
    <ignoredError sqref="J22:J23 K22:K23 J28:K28 J33:K33 H22:H23 H28 H33 J27:L27 J32:L32 D14:D17 F22:F24 F28:F29 F33:F34 M32:M34 M27:M29 M21:M24 J21:L21 K14:K17 J1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PRESUPUESTO</vt:lpstr>
      <vt:lpstr>OPERACIONES</vt:lpstr>
      <vt:lpstr>Presupuesto Total</vt:lpstr>
      <vt:lpstr>Presupuesto Ejecucion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2024-03-01T12:50:45Z</dcterms:created>
  <dcterms:modified xsi:type="dcterms:W3CDTF">2024-03-04T13:13:51Z</dcterms:modified>
</cp:coreProperties>
</file>