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omp\Subdirecciones\Contratacion\00. EXPEDIENTES_REVISION_PUBLICADO\OPE - 2024 - 048 - AB - SERVICIO DE GESTIÓN DE LODOS DE EDAR Y ETAP - SER\"/>
    </mc:Choice>
  </mc:AlternateContent>
  <xr:revisionPtr revIDLastSave="0" documentId="8_{8F8F5554-A269-4E6A-B33A-177E61B6FD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memoria Lote I y 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" i="1" l="1"/>
  <c r="H21" i="1"/>
  <c r="L21" i="1" l="1"/>
  <c r="K21" i="1"/>
  <c r="J27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C28" i="1"/>
  <c r="B28" i="1"/>
  <c r="C27" i="1"/>
  <c r="C26" i="1"/>
  <c r="C25" i="1"/>
  <c r="C24" i="1"/>
  <c r="C23" i="1"/>
  <c r="C22" i="1"/>
  <c r="B26" i="1"/>
  <c r="B25" i="1"/>
  <c r="B24" i="1"/>
  <c r="B23" i="1"/>
  <c r="B22" i="1"/>
  <c r="C20" i="1"/>
  <c r="C19" i="1"/>
  <c r="C18" i="1"/>
  <c r="C17" i="1"/>
  <c r="C16" i="1"/>
  <c r="C21" i="1"/>
  <c r="B27" i="1"/>
  <c r="J21" i="1"/>
  <c r="B21" i="1"/>
  <c r="I21" i="1" s="1"/>
  <c r="B20" i="1"/>
  <c r="B19" i="1"/>
  <c r="B18" i="1"/>
  <c r="B17" i="1"/>
  <c r="B16" i="1"/>
  <c r="E16" i="1" s="1"/>
  <c r="K10" i="1"/>
  <c r="H28" i="1" l="1"/>
  <c r="K27" i="1"/>
  <c r="L27" i="1"/>
  <c r="I27" i="1"/>
  <c r="D16" i="1"/>
  <c r="N10" i="1"/>
  <c r="H29" i="1" l="1"/>
  <c r="H30" i="1" s="1"/>
  <c r="B29" i="1"/>
  <c r="J28" i="1" l="1"/>
  <c r="I28" i="1"/>
  <c r="M28" i="1"/>
  <c r="B30" i="1" l="1"/>
  <c r="I29" i="1"/>
  <c r="J29" i="1"/>
  <c r="M29" i="1"/>
  <c r="M30" i="1" s="1"/>
  <c r="J30" i="1" l="1"/>
  <c r="I30" i="1"/>
  <c r="D28" i="1"/>
  <c r="C29" i="1" l="1"/>
  <c r="D29" i="1" s="1"/>
  <c r="K28" i="1"/>
  <c r="L28" i="1"/>
  <c r="E28" i="1"/>
  <c r="C30" i="1" l="1"/>
  <c r="D30" i="1" s="1"/>
  <c r="E29" i="1"/>
  <c r="L29" i="1"/>
  <c r="K29" i="1"/>
  <c r="E30" i="1" l="1"/>
  <c r="K30" i="1"/>
  <c r="L30" i="1"/>
</calcChain>
</file>

<file path=xl/sharedStrings.xml><?xml version="1.0" encoding="utf-8"?>
<sst xmlns="http://schemas.openxmlformats.org/spreadsheetml/2006/main" count="77" uniqueCount="62">
  <si>
    <t>Identificación del expediente de contratación:</t>
  </si>
  <si>
    <t>Número de expediente</t>
  </si>
  <si>
    <t>Denominación</t>
  </si>
  <si>
    <t>Posición presupuestaria</t>
  </si>
  <si>
    <t>Centro de beneficio</t>
  </si>
  <si>
    <t>Diferencia</t>
  </si>
  <si>
    <t>%</t>
  </si>
  <si>
    <t>euros</t>
  </si>
  <si>
    <t>Euros</t>
  </si>
  <si>
    <t>Variación sobre adjudicacion licitación previa</t>
  </si>
  <si>
    <t>I</t>
  </si>
  <si>
    <t>II</t>
  </si>
  <si>
    <t>Concepto de gasto (III)</t>
  </si>
  <si>
    <t>III</t>
  </si>
  <si>
    <t>IV</t>
  </si>
  <si>
    <t>V</t>
  </si>
  <si>
    <t>Valor adjudicación (IV)</t>
  </si>
  <si>
    <t>Coste nuevos servicios (V)</t>
  </si>
  <si>
    <t>En el caso de que la duración del contrato sea superior a un año, el importe de adjudicación debe referirse al periodo de 12 meses</t>
  </si>
  <si>
    <t>En el caso de que existieran en el nuevo contrato. En caso contrario, la casilla se dejará en blanco</t>
  </si>
  <si>
    <t>Fórmulas a emplear</t>
  </si>
  <si>
    <t>(A)</t>
  </si>
  <si>
    <t>(B)</t>
  </si>
  <si>
    <t>(C)</t>
  </si>
  <si>
    <t>(C)-(A)€</t>
  </si>
  <si>
    <t>(B)/(A)%</t>
  </si>
  <si>
    <t>(B)-(A)€</t>
  </si>
  <si>
    <t>(C)-(B)€</t>
  </si>
  <si>
    <t>Deben recogerse de forma desagregada todos los conceptos de gasto reflejados en el INI</t>
  </si>
  <si>
    <t>(C)/(A)%</t>
  </si>
  <si>
    <t>(C)/(B)%</t>
  </si>
  <si>
    <t>Cuenta contable</t>
  </si>
  <si>
    <t>Anualidades (I)</t>
  </si>
  <si>
    <t>IVA</t>
  </si>
  <si>
    <t>TOTAL GASTOS</t>
  </si>
  <si>
    <t>Importe licitación anual</t>
  </si>
  <si>
    <t>Importe anual</t>
  </si>
  <si>
    <t>Variación sobre licitación previa anual</t>
  </si>
  <si>
    <t>Todos los importes incluyen el IVA más la posible prórroga</t>
  </si>
  <si>
    <t xml:space="preserve">En el caso de que la duración sea superior a un año, los valores reflejados se referirán exclusivamente a un periodo de 12 meses, sin prórroga y sin IVA, coherente con lo indicado en el apartado 3.E del INI </t>
  </si>
  <si>
    <t>SUBTOTAL</t>
  </si>
  <si>
    <t>LICITACIÓN PREVIA (II)</t>
  </si>
  <si>
    <t>NUEVA LICITACIÓN (II)</t>
  </si>
  <si>
    <t>Duración (indicar duración inicial + eventual prórroga)</t>
  </si>
  <si>
    <t>Tipo de contrato (indicar si es de Obras, Servicios o Suministros)</t>
  </si>
  <si>
    <t>Servicios</t>
  </si>
  <si>
    <t>(*)</t>
  </si>
  <si>
    <t>Lote I</t>
  </si>
  <si>
    <t>Lote II</t>
  </si>
  <si>
    <t>Gestion centralizada</t>
  </si>
  <si>
    <t>G/607011/000001  G/607011/000002</t>
  </si>
  <si>
    <t>3 años + 1 año de prórroga</t>
  </si>
  <si>
    <t>48/2024</t>
  </si>
  <si>
    <t>Importe total (I) ( con prórroga y con IVA):  10.546.678,83 €</t>
  </si>
  <si>
    <t>148/2018 Lote IV</t>
  </si>
  <si>
    <t>148/2018 lote V</t>
  </si>
  <si>
    <t>148/2018 Lote II</t>
  </si>
  <si>
    <t>148/2018 Lote I</t>
  </si>
  <si>
    <t>47/2020</t>
  </si>
  <si>
    <t>Importe anua l(II) (Será igual al importe total de la columna (C)) :  2.636.669,71€</t>
  </si>
  <si>
    <t>SERVICIOS DE GESTIÓN DE LODOS DE LAS EDAR Y ETAP DE CANAL DE ISABEL II S.A.M.P.</t>
  </si>
  <si>
    <t>Comparación hecha tomando para las toneladas de los lotes I y II del contrato 48/2024 y aplicando los precios medios en  €/t para cada uno de los contratos de la licitaciones previas y la nueva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</si>
</sst>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\ &quot;€&quot;"/>
    <numFmt numFmtId="165" formatCode="#,##0.000000000000000"/>
    <numFmt numFmtId="166" formatCode="_-* #,##0.000000000000000_-;\-* #,##0.000000000000000_-;_-* &quot;-&quot;??_-;_-@_-"/>
    <numFmt numFmtId="167" formatCode="#,##0.0000000000000000"/>
    <numFmt numFmtId="168" formatCode="_-* #,##0.000000000000000000_-;\-* #,##0.000000000000000000_-;_-* &quot;-&quot;??_-;_-@_-"/>
  </numFmts>
  <fonts count="15" x14ac:knownFonts="1">
    <font>
      <sz val="10"/>
      <name val="Arial"/>
    </font>
    <font>
      <sz val="8"/>
      <name val="Arial"/>
      <family val="2"/>
    </font>
    <font>
      <sz val="10"/>
      <color rgb="FF0084C9"/>
      <name val="Calibri"/>
      <family val="2"/>
      <scheme val="minor"/>
    </font>
    <font>
      <sz val="8"/>
      <color rgb="FF0084C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"/>
      <color rgb="FF0070C0"/>
      <name val="Calibri"/>
      <family val="2"/>
      <scheme val="minor"/>
    </font>
    <font>
      <sz val="7"/>
      <color rgb="FF0084C9"/>
      <name val="Calibri"/>
      <family val="2"/>
      <scheme val="minor"/>
    </font>
    <font>
      <i/>
      <sz val="7"/>
      <color rgb="FF0084C9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7"/>
      <color theme="4"/>
      <name val="Calibri"/>
      <family val="2"/>
      <scheme val="minor"/>
    </font>
    <font>
      <sz val="10"/>
      <name val="Arial"/>
      <family val="2"/>
    </font>
    <font>
      <sz val="6"/>
      <color rgb="FF0084C9"/>
      <name val="Calibri"/>
      <family val="2"/>
      <scheme val="minor"/>
    </font>
    <font>
      <b/>
      <sz val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4C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84C9"/>
      </left>
      <right style="thin">
        <color rgb="FF0084C9"/>
      </right>
      <top style="thin">
        <color rgb="FF0084C9"/>
      </top>
      <bottom/>
      <diagonal/>
    </border>
    <border>
      <left style="thin">
        <color rgb="FF0084C9"/>
      </left>
      <right style="thin">
        <color rgb="FF0084C9"/>
      </right>
      <top/>
      <bottom style="thin">
        <color rgb="FF0084C9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 style="thin">
        <color rgb="FF0084C9"/>
      </top>
      <bottom style="thin">
        <color rgb="FF0084C9"/>
      </bottom>
      <diagonal/>
    </border>
    <border>
      <left/>
      <right style="thin">
        <color rgb="FF0084C9"/>
      </right>
      <top style="thin">
        <color rgb="FF0070C0"/>
      </top>
      <bottom/>
      <diagonal/>
    </border>
    <border>
      <left/>
      <right style="thin">
        <color rgb="FF0084C9"/>
      </right>
      <top/>
      <bottom/>
      <diagonal/>
    </border>
    <border>
      <left/>
      <right style="thin">
        <color rgb="FF0084C9"/>
      </right>
      <top/>
      <bottom style="thin">
        <color rgb="FF0070C0"/>
      </bottom>
      <diagonal/>
    </border>
    <border>
      <left style="thin">
        <color rgb="FF0084C9"/>
      </left>
      <right/>
      <top/>
      <bottom/>
      <diagonal/>
    </border>
    <border>
      <left style="thin">
        <color rgb="FF0084C9"/>
      </left>
      <right style="thin">
        <color rgb="FF0084C9"/>
      </right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84C9"/>
      </left>
      <right/>
      <top/>
      <bottom style="thin">
        <color rgb="FF0084C9"/>
      </bottom>
      <diagonal/>
    </border>
    <border>
      <left/>
      <right style="thin">
        <color rgb="FF0084C9"/>
      </right>
      <top/>
      <bottom style="thin">
        <color rgb="FF0084C9"/>
      </bottom>
      <diagonal/>
    </border>
    <border>
      <left style="thin">
        <color rgb="FF0070C0"/>
      </left>
      <right/>
      <top style="thin">
        <color rgb="FF0084C9"/>
      </top>
      <bottom style="thin">
        <color rgb="FF0070C0"/>
      </bottom>
      <diagonal/>
    </border>
    <border>
      <left/>
      <right style="thin">
        <color rgb="FF0070C0"/>
      </right>
      <top style="thin">
        <color rgb="FF0084C9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84C9"/>
      </left>
      <right style="thin">
        <color indexed="64"/>
      </right>
      <top style="thin">
        <color rgb="FF0084C9"/>
      </top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5" fillId="2" borderId="3" xfId="0" applyFont="1" applyFill="1" applyBorder="1"/>
    <xf numFmtId="0" fontId="7" fillId="3" borderId="3" xfId="0" applyFont="1" applyFill="1" applyBorder="1" applyAlignment="1">
      <alignment horizontal="left" indent="1"/>
    </xf>
    <xf numFmtId="0" fontId="7" fillId="0" borderId="4" xfId="0" applyFont="1" applyBorder="1" applyAlignment="1">
      <alignment horizontal="center" wrapText="1"/>
    </xf>
    <xf numFmtId="0" fontId="8" fillId="0" borderId="0" xfId="0" applyFont="1"/>
    <xf numFmtId="0" fontId="7" fillId="0" borderId="8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9" fillId="3" borderId="3" xfId="0" applyFont="1" applyFill="1" applyBorder="1" applyAlignment="1">
      <alignment horizontal="left" vertical="top"/>
    </xf>
    <xf numFmtId="0" fontId="9" fillId="3" borderId="10" xfId="0" applyFont="1" applyFill="1" applyBorder="1" applyAlignment="1">
      <alignment horizontal="right" vertical="top"/>
    </xf>
    <xf numFmtId="0" fontId="7" fillId="3" borderId="3" xfId="0" applyFont="1" applyFill="1" applyBorder="1" applyAlignment="1">
      <alignment horizontal="left" indent="1"/>
    </xf>
    <xf numFmtId="0" fontId="10" fillId="0" borderId="3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9" fillId="3" borderId="10" xfId="0" applyNumberFormat="1" applyFont="1" applyFill="1" applyBorder="1" applyAlignment="1">
      <alignment horizontal="right" vertical="top"/>
    </xf>
    <xf numFmtId="0" fontId="10" fillId="0" borderId="3" xfId="0" applyFont="1" applyBorder="1" applyAlignment="1">
      <alignment horizontal="right" vertical="top"/>
    </xf>
    <xf numFmtId="0" fontId="7" fillId="3" borderId="3" xfId="0" applyFont="1" applyFill="1" applyBorder="1" applyAlignment="1">
      <alignment horizontal="left" indent="1"/>
    </xf>
    <xf numFmtId="0" fontId="7" fillId="0" borderId="18" xfId="0" applyFont="1" applyBorder="1" applyAlignment="1">
      <alignment horizontal="center" wrapText="1"/>
    </xf>
    <xf numFmtId="0" fontId="10" fillId="0" borderId="3" xfId="0" applyFont="1" applyBorder="1" applyAlignment="1">
      <alignment horizontal="left" vertical="top"/>
    </xf>
    <xf numFmtId="4" fontId="9" fillId="3" borderId="10" xfId="0" applyNumberFormat="1" applyFont="1" applyFill="1" applyBorder="1" applyAlignment="1">
      <alignment horizontal="center" vertical="top"/>
    </xf>
    <xf numFmtId="4" fontId="9" fillId="3" borderId="10" xfId="0" applyNumberFormat="1" applyFont="1" applyFill="1" applyBorder="1" applyAlignment="1">
      <alignment horizontal="center" vertical="center"/>
    </xf>
    <xf numFmtId="10" fontId="9" fillId="3" borderId="10" xfId="0" applyNumberFormat="1" applyFont="1" applyFill="1" applyBorder="1" applyAlignment="1">
      <alignment horizontal="center" vertical="top"/>
    </xf>
    <xf numFmtId="10" fontId="9" fillId="3" borderId="10" xfId="0" applyNumberFormat="1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left" vertical="top"/>
    </xf>
    <xf numFmtId="0" fontId="11" fillId="3" borderId="16" xfId="0" applyFont="1" applyFill="1" applyBorder="1" applyAlignment="1">
      <alignment horizontal="left" vertical="top"/>
    </xf>
    <xf numFmtId="43" fontId="2" fillId="0" borderId="0" xfId="1" applyFont="1"/>
    <xf numFmtId="43" fontId="3" fillId="0" borderId="0" xfId="1" applyFont="1"/>
    <xf numFmtId="4" fontId="3" fillId="0" borderId="0" xfId="0" applyNumberFormat="1" applyFont="1"/>
    <xf numFmtId="43" fontId="13" fillId="0" borderId="0" xfId="1" applyFont="1"/>
    <xf numFmtId="2" fontId="3" fillId="0" borderId="0" xfId="0" applyNumberFormat="1" applyFont="1"/>
    <xf numFmtId="164" fontId="10" fillId="0" borderId="3" xfId="0" applyNumberFormat="1" applyFont="1" applyBorder="1"/>
    <xf numFmtId="0" fontId="7" fillId="3" borderId="3" xfId="0" applyFont="1" applyFill="1" applyBorder="1" applyAlignment="1">
      <alignment horizontal="left" indent="1"/>
    </xf>
    <xf numFmtId="4" fontId="9" fillId="3" borderId="10" xfId="0" applyNumberFormat="1" applyFont="1" applyFill="1" applyBorder="1" applyAlignment="1">
      <alignment vertical="center" wrapText="1"/>
    </xf>
    <xf numFmtId="10" fontId="9" fillId="3" borderId="10" xfId="0" applyNumberFormat="1" applyFont="1" applyFill="1" applyBorder="1" applyAlignment="1">
      <alignment vertical="center"/>
    </xf>
    <xf numFmtId="0" fontId="9" fillId="3" borderId="15" xfId="0" applyFont="1" applyFill="1" applyBorder="1" applyAlignment="1">
      <alignment horizontal="left" vertical="top"/>
    </xf>
    <xf numFmtId="4" fontId="9" fillId="3" borderId="10" xfId="0" applyNumberFormat="1" applyFont="1" applyFill="1" applyBorder="1" applyAlignment="1">
      <alignment vertical="center"/>
    </xf>
    <xf numFmtId="4" fontId="9" fillId="0" borderId="10" xfId="0" applyNumberFormat="1" applyFont="1" applyFill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4" fontId="9" fillId="3" borderId="10" xfId="0" applyNumberFormat="1" applyFont="1" applyFill="1" applyBorder="1" applyAlignment="1">
      <alignment horizontal="right" vertical="center"/>
    </xf>
    <xf numFmtId="10" fontId="9" fillId="3" borderId="10" xfId="0" applyNumberFormat="1" applyFont="1" applyFill="1" applyBorder="1" applyAlignment="1">
      <alignment horizontal="right" vertical="center"/>
    </xf>
    <xf numFmtId="10" fontId="9" fillId="3" borderId="10" xfId="0" applyNumberFormat="1" applyFont="1" applyFill="1" applyBorder="1" applyAlignment="1">
      <alignment horizontal="right" vertical="top"/>
    </xf>
    <xf numFmtId="0" fontId="9" fillId="3" borderId="19" xfId="0" applyFont="1" applyFill="1" applyBorder="1" applyAlignment="1">
      <alignment horizontal="left" vertical="top"/>
    </xf>
    <xf numFmtId="0" fontId="11" fillId="3" borderId="20" xfId="0" applyFont="1" applyFill="1" applyBorder="1" applyAlignment="1">
      <alignment horizontal="left" vertical="top"/>
    </xf>
    <xf numFmtId="4" fontId="14" fillId="0" borderId="10" xfId="0" applyNumberFormat="1" applyFont="1" applyFill="1" applyBorder="1" applyAlignment="1">
      <alignment vertical="top"/>
    </xf>
    <xf numFmtId="4" fontId="14" fillId="3" borderId="10" xfId="0" applyNumberFormat="1" applyFont="1" applyFill="1" applyBorder="1" applyAlignment="1">
      <alignment horizontal="right" vertical="top"/>
    </xf>
    <xf numFmtId="4" fontId="14" fillId="3" borderId="10" xfId="0" applyNumberFormat="1" applyFont="1" applyFill="1" applyBorder="1" applyAlignment="1">
      <alignment vertical="center" wrapText="1"/>
    </xf>
    <xf numFmtId="10" fontId="14" fillId="3" borderId="10" xfId="0" applyNumberFormat="1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right" vertical="top"/>
    </xf>
    <xf numFmtId="4" fontId="14" fillId="0" borderId="10" xfId="0" applyNumberFormat="1" applyFont="1" applyFill="1" applyBorder="1" applyAlignment="1">
      <alignment horizontal="right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left" indent="1"/>
    </xf>
    <xf numFmtId="4" fontId="14" fillId="3" borderId="10" xfId="0" applyNumberFormat="1" applyFont="1" applyFill="1" applyBorder="1" applyAlignment="1">
      <alignment horizontal="right" vertical="center"/>
    </xf>
    <xf numFmtId="10" fontId="14" fillId="3" borderId="10" xfId="0" applyNumberFormat="1" applyFont="1" applyFill="1" applyBorder="1" applyAlignment="1">
      <alignment horizontal="right" vertical="center"/>
    </xf>
    <xf numFmtId="10" fontId="14" fillId="3" borderId="10" xfId="0" applyNumberFormat="1" applyFont="1" applyFill="1" applyBorder="1" applyAlignment="1">
      <alignment horizontal="right" vertical="top"/>
    </xf>
    <xf numFmtId="0" fontId="9" fillId="3" borderId="20" xfId="0" applyFont="1" applyFill="1" applyBorder="1" applyAlignment="1">
      <alignment vertical="top"/>
    </xf>
    <xf numFmtId="165" fontId="9" fillId="3" borderId="10" xfId="0" applyNumberFormat="1" applyFont="1" applyFill="1" applyBorder="1" applyAlignment="1">
      <alignment horizontal="center" vertical="top"/>
    </xf>
    <xf numFmtId="166" fontId="2" fillId="0" borderId="0" xfId="1" applyNumberFormat="1" applyFont="1"/>
    <xf numFmtId="167" fontId="9" fillId="3" borderId="10" xfId="0" applyNumberFormat="1" applyFont="1" applyFill="1" applyBorder="1" applyAlignment="1">
      <alignment horizontal="center" vertical="top"/>
    </xf>
    <xf numFmtId="168" fontId="2" fillId="0" borderId="0" xfId="1" applyNumberFormat="1" applyFont="1"/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left" vertical="top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top"/>
    </xf>
    <xf numFmtId="0" fontId="7" fillId="3" borderId="3" xfId="0" applyFont="1" applyFill="1" applyBorder="1" applyAlignment="1">
      <alignment horizontal="left" indent="1"/>
    </xf>
    <xf numFmtId="0" fontId="5" fillId="2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464646"/>
      <color rgb="FF0084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1"/>
  <sheetViews>
    <sheetView showGridLines="0" tabSelected="1" topLeftCell="A10" zoomScale="140" zoomScaleNormal="140" zoomScalePageLayoutView="110" workbookViewId="0">
      <selection activeCell="G25" sqref="G25"/>
    </sheetView>
  </sheetViews>
  <sheetFormatPr baseColWidth="10" defaultColWidth="11.42578125" defaultRowHeight="12.75" x14ac:dyDescent="0.2"/>
  <cols>
    <col min="1" max="1" width="29.7109375" style="1" customWidth="1"/>
    <col min="2" max="3" width="10.85546875" style="1" customWidth="1"/>
    <col min="4" max="4" width="8.85546875" style="1" customWidth="1"/>
    <col min="5" max="5" width="11.42578125" style="1" customWidth="1"/>
    <col min="6" max="6" width="14.140625" style="1" customWidth="1"/>
    <col min="7" max="7" width="11.42578125" style="1" customWidth="1"/>
    <col min="8" max="8" width="13.7109375" style="1" customWidth="1"/>
    <col min="9" max="9" width="10.85546875" style="1" customWidth="1"/>
    <col min="10" max="10" width="8.85546875" style="1" customWidth="1"/>
    <col min="11" max="11" width="11.85546875" style="1" customWidth="1"/>
    <col min="12" max="12" width="9.140625" style="1" customWidth="1"/>
    <col min="13" max="13" width="10.7109375" style="1" customWidth="1"/>
    <col min="14" max="14" width="23.28515625" style="1" customWidth="1"/>
    <col min="15" max="16384" width="11.42578125" style="1"/>
  </cols>
  <sheetData>
    <row r="1" spans="1:14" x14ac:dyDescent="0.2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4" x14ac:dyDescent="0.2">
      <c r="A2" s="3" t="s">
        <v>1</v>
      </c>
      <c r="B2" s="80" t="s">
        <v>52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4" x14ac:dyDescent="0.2">
      <c r="A3" s="3" t="s">
        <v>2</v>
      </c>
      <c r="B3" s="66" t="s">
        <v>60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4" x14ac:dyDescent="0.2">
      <c r="A4" s="10" t="s">
        <v>44</v>
      </c>
      <c r="B4" s="10"/>
      <c r="C4" s="10"/>
      <c r="D4" s="10" t="s">
        <v>45</v>
      </c>
      <c r="E4" s="10"/>
      <c r="F4" s="10"/>
      <c r="G4" s="10"/>
      <c r="H4" s="10"/>
      <c r="I4" s="10"/>
      <c r="J4" s="10"/>
      <c r="K4" s="10"/>
      <c r="L4" s="10"/>
      <c r="M4" s="10"/>
    </row>
    <row r="5" spans="1:14" x14ac:dyDescent="0.2">
      <c r="A5" s="10" t="s">
        <v>43</v>
      </c>
      <c r="B5" s="11"/>
      <c r="C5" s="15"/>
      <c r="D5" s="18" t="s">
        <v>51</v>
      </c>
      <c r="E5" s="11"/>
      <c r="F5" s="11"/>
      <c r="G5" s="11"/>
      <c r="H5" s="11"/>
      <c r="I5" s="11"/>
      <c r="J5" s="11"/>
      <c r="K5" s="11"/>
      <c r="L5" s="11"/>
      <c r="M5" s="11"/>
    </row>
    <row r="6" spans="1:14" x14ac:dyDescent="0.2">
      <c r="A6" s="3" t="s">
        <v>4</v>
      </c>
      <c r="B6" s="66" t="s">
        <v>49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4" x14ac:dyDescent="0.2">
      <c r="A7" s="3" t="s">
        <v>3</v>
      </c>
      <c r="B7" s="66" t="s">
        <v>50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4" x14ac:dyDescent="0.2">
      <c r="A8" s="3" t="s">
        <v>31</v>
      </c>
      <c r="B8" s="66">
        <v>607011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1:14" x14ac:dyDescent="0.2">
      <c r="A9" s="81" t="s">
        <v>53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4" x14ac:dyDescent="0.2">
      <c r="A10" s="3" t="s">
        <v>32</v>
      </c>
      <c r="B10" s="2">
        <v>2024</v>
      </c>
      <c r="C10" s="30">
        <v>439444.95</v>
      </c>
      <c r="D10" s="2">
        <v>2025</v>
      </c>
      <c r="E10" s="30">
        <v>2636669.7059999998</v>
      </c>
      <c r="F10" s="2">
        <v>2026</v>
      </c>
      <c r="G10" s="30">
        <v>2636669.7059999998</v>
      </c>
      <c r="H10" s="2">
        <v>2027</v>
      </c>
      <c r="I10" s="30">
        <v>2636669.71</v>
      </c>
      <c r="J10" s="2">
        <v>2028</v>
      </c>
      <c r="K10" s="30">
        <f>I10-C10</f>
        <v>2197224.7599999998</v>
      </c>
      <c r="L10" s="2">
        <v>2029</v>
      </c>
      <c r="M10" s="30"/>
      <c r="N10" s="38">
        <f>C10+E10+G10+I10+K10</f>
        <v>10546678.831999999</v>
      </c>
    </row>
    <row r="11" spans="1:14" x14ac:dyDescent="0.2">
      <c r="A11" s="81" t="s">
        <v>59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1:14" x14ac:dyDescent="0.2">
      <c r="A12" s="3"/>
      <c r="B12" s="82" t="s">
        <v>41</v>
      </c>
      <c r="C12" s="82"/>
      <c r="D12" s="82"/>
      <c r="E12" s="82"/>
      <c r="F12" s="72" t="s">
        <v>42</v>
      </c>
      <c r="G12" s="72"/>
      <c r="H12" s="72"/>
      <c r="I12" s="72"/>
      <c r="J12" s="72"/>
      <c r="K12" s="72"/>
      <c r="L12" s="72"/>
      <c r="M12" s="72"/>
    </row>
    <row r="13" spans="1:14" ht="18.75" customHeight="1" x14ac:dyDescent="0.2">
      <c r="A13" s="67" t="s">
        <v>12</v>
      </c>
      <c r="B13" s="61" t="s">
        <v>35</v>
      </c>
      <c r="C13" s="61" t="s">
        <v>16</v>
      </c>
      <c r="D13" s="61"/>
      <c r="E13" s="61"/>
      <c r="F13" s="77" t="s">
        <v>12</v>
      </c>
      <c r="G13" s="68"/>
      <c r="H13" s="61" t="s">
        <v>35</v>
      </c>
      <c r="I13" s="73" t="s">
        <v>37</v>
      </c>
      <c r="J13" s="74"/>
      <c r="K13" s="73" t="s">
        <v>9</v>
      </c>
      <c r="L13" s="74"/>
      <c r="M13" s="63" t="s">
        <v>17</v>
      </c>
    </row>
    <row r="14" spans="1:14" x14ac:dyDescent="0.2">
      <c r="A14" s="68"/>
      <c r="B14" s="61"/>
      <c r="C14" s="63" t="s">
        <v>36</v>
      </c>
      <c r="D14" s="62" t="s">
        <v>5</v>
      </c>
      <c r="E14" s="62"/>
      <c r="F14" s="77"/>
      <c r="G14" s="68"/>
      <c r="H14" s="61"/>
      <c r="I14" s="6"/>
      <c r="J14" s="7"/>
      <c r="K14" s="75"/>
      <c r="L14" s="76"/>
      <c r="M14" s="70"/>
    </row>
    <row r="15" spans="1:14" x14ac:dyDescent="0.2">
      <c r="A15" s="69"/>
      <c r="B15" s="61"/>
      <c r="C15" s="64"/>
      <c r="D15" s="4" t="s">
        <v>7</v>
      </c>
      <c r="E15" s="4" t="s">
        <v>6</v>
      </c>
      <c r="F15" s="78"/>
      <c r="G15" s="79"/>
      <c r="H15" s="61"/>
      <c r="I15" s="4" t="s">
        <v>8</v>
      </c>
      <c r="J15" s="4" t="s">
        <v>6</v>
      </c>
      <c r="K15" s="4" t="s">
        <v>8</v>
      </c>
      <c r="L15" s="17" t="s">
        <v>6</v>
      </c>
      <c r="M15" s="71"/>
    </row>
    <row r="16" spans="1:14" x14ac:dyDescent="0.2">
      <c r="A16" s="8" t="s">
        <v>57</v>
      </c>
      <c r="B16" s="36">
        <f>4893.1*16.3</f>
        <v>79757.530000000013</v>
      </c>
      <c r="C16" s="36">
        <f>4893.1*16.03</f>
        <v>78436.393000000011</v>
      </c>
      <c r="D16" s="32">
        <f>B16-C16</f>
        <v>1321.1370000000024</v>
      </c>
      <c r="E16" s="22">
        <f>C16/B16</f>
        <v>0.98343558282208587</v>
      </c>
      <c r="F16" s="34"/>
      <c r="G16" s="23"/>
      <c r="H16" s="35"/>
      <c r="I16" s="20"/>
      <c r="J16" s="22"/>
      <c r="K16" s="37"/>
      <c r="L16" s="22"/>
      <c r="M16" s="9"/>
      <c r="N16" s="57"/>
    </row>
    <row r="17" spans="1:14" x14ac:dyDescent="0.2">
      <c r="A17" s="8" t="s">
        <v>56</v>
      </c>
      <c r="B17" s="36">
        <f>2044.44*8.42</f>
        <v>17214.184799999999</v>
      </c>
      <c r="C17" s="36">
        <f>2044.44*8.3</f>
        <v>16968.852000000003</v>
      </c>
      <c r="D17" s="32">
        <f t="shared" ref="D17:D27" si="0">B17-C17</f>
        <v>245.3327999999965</v>
      </c>
      <c r="E17" s="22">
        <f t="shared" ref="E17:E27" si="1">C17/B17</f>
        <v>0.98574821852731609</v>
      </c>
      <c r="F17" s="34"/>
      <c r="G17" s="23"/>
      <c r="H17" s="35"/>
      <c r="I17" s="20"/>
      <c r="J17" s="22"/>
      <c r="K17" s="37"/>
      <c r="L17" s="22"/>
      <c r="M17" s="9"/>
      <c r="N17" s="25"/>
    </row>
    <row r="18" spans="1:14" x14ac:dyDescent="0.2">
      <c r="A18" s="8" t="s">
        <v>58</v>
      </c>
      <c r="B18" s="35">
        <f>8591.54*7.82</f>
        <v>67185.842800000013</v>
      </c>
      <c r="C18" s="35">
        <f>8591.54*7.41</f>
        <v>63663.311400000006</v>
      </c>
      <c r="D18" s="32">
        <f t="shared" si="0"/>
        <v>3522.5314000000071</v>
      </c>
      <c r="E18" s="22">
        <f t="shared" si="1"/>
        <v>0.94757033248081834</v>
      </c>
      <c r="F18" s="34"/>
      <c r="G18" s="24"/>
      <c r="H18" s="35"/>
      <c r="I18" s="20"/>
      <c r="J18" s="22"/>
      <c r="K18" s="37"/>
      <c r="L18" s="22"/>
      <c r="M18" s="9"/>
      <c r="N18" s="25"/>
    </row>
    <row r="19" spans="1:14" x14ac:dyDescent="0.2">
      <c r="A19" s="8" t="s">
        <v>54</v>
      </c>
      <c r="B19" s="36">
        <f>21319*6.74</f>
        <v>143690.06</v>
      </c>
      <c r="C19" s="36">
        <f>21319*6.6</f>
        <v>140705.4</v>
      </c>
      <c r="D19" s="32">
        <f t="shared" si="0"/>
        <v>2984.6600000000035</v>
      </c>
      <c r="E19" s="22">
        <f t="shared" si="1"/>
        <v>0.97922848664688422</v>
      </c>
      <c r="F19" s="34"/>
      <c r="G19" s="23"/>
      <c r="H19" s="56"/>
      <c r="I19" s="35"/>
      <c r="J19" s="33"/>
      <c r="K19" s="32"/>
      <c r="L19" s="33"/>
      <c r="M19" s="14"/>
      <c r="N19" s="25"/>
    </row>
    <row r="20" spans="1:14" x14ac:dyDescent="0.2">
      <c r="A20" s="8" t="s">
        <v>55</v>
      </c>
      <c r="B20" s="36">
        <f>34580.6*11.12</f>
        <v>384536.27199999994</v>
      </c>
      <c r="C20" s="36">
        <f>34580.6*8.44</f>
        <v>291860.26399999997</v>
      </c>
      <c r="D20" s="32">
        <f t="shared" si="0"/>
        <v>92676.007999999973</v>
      </c>
      <c r="E20" s="22">
        <f t="shared" si="1"/>
        <v>0.75899280575539574</v>
      </c>
      <c r="F20" s="42"/>
      <c r="G20" s="43"/>
      <c r="H20" s="19"/>
      <c r="I20" s="35"/>
      <c r="J20" s="33"/>
      <c r="K20" s="32"/>
      <c r="L20" s="33"/>
      <c r="M20" s="14"/>
      <c r="N20" s="25"/>
    </row>
    <row r="21" spans="1:14" x14ac:dyDescent="0.2">
      <c r="A21" s="48" t="s">
        <v>40</v>
      </c>
      <c r="B21" s="44">
        <f>SUM(B16:B20)</f>
        <v>692383.88959999988</v>
      </c>
      <c r="C21" s="45">
        <f>SUM(C16:C20)</f>
        <v>591634.22039999999</v>
      </c>
      <c r="D21" s="32">
        <f t="shared" si="0"/>
        <v>100749.66919999989</v>
      </c>
      <c r="E21" s="22">
        <f t="shared" si="1"/>
        <v>0.85448871541739013</v>
      </c>
      <c r="F21" s="42" t="s">
        <v>47</v>
      </c>
      <c r="G21" s="43"/>
      <c r="H21" s="45">
        <f>16.8525438976947*71428.58</f>
        <v>1203753.2799999979</v>
      </c>
      <c r="I21" s="39">
        <f>H21-B21</f>
        <v>511369.39039999805</v>
      </c>
      <c r="J21" s="40">
        <f>H21/B21</f>
        <v>1.7385633867007269</v>
      </c>
      <c r="K21" s="32">
        <f>H21-C21</f>
        <v>612119.05959999794</v>
      </c>
      <c r="L21" s="33">
        <f>H21/C21</f>
        <v>2.0346241621827561</v>
      </c>
      <c r="M21" s="14"/>
      <c r="N21" s="25"/>
    </row>
    <row r="22" spans="1:14" x14ac:dyDescent="0.2">
      <c r="A22" s="8" t="s">
        <v>57</v>
      </c>
      <c r="B22" s="36">
        <f>3394.84*16.3</f>
        <v>55335.892000000007</v>
      </c>
      <c r="C22" s="36">
        <f>3394.84*16.03</f>
        <v>54419.285200000006</v>
      </c>
      <c r="D22" s="32">
        <f t="shared" si="0"/>
        <v>916.60680000000139</v>
      </c>
      <c r="E22" s="22">
        <f t="shared" si="1"/>
        <v>0.98343558282208587</v>
      </c>
      <c r="F22" s="34"/>
      <c r="G22" s="24"/>
      <c r="H22" s="35"/>
      <c r="I22" s="20"/>
      <c r="J22" s="22"/>
      <c r="K22" s="32"/>
      <c r="L22" s="33"/>
      <c r="M22" s="14"/>
      <c r="N22" s="25"/>
    </row>
    <row r="23" spans="1:14" x14ac:dyDescent="0.2">
      <c r="A23" s="8" t="s">
        <v>56</v>
      </c>
      <c r="B23" s="36">
        <f>17211.66*8.42</f>
        <v>144922.17720000001</v>
      </c>
      <c r="C23" s="36">
        <f>17211.66*8.3</f>
        <v>142856.77800000002</v>
      </c>
      <c r="D23" s="32">
        <f t="shared" si="0"/>
        <v>2065.3991999999853</v>
      </c>
      <c r="E23" s="22">
        <f t="shared" si="1"/>
        <v>0.98574821852731598</v>
      </c>
      <c r="F23" s="42"/>
      <c r="G23" s="43"/>
      <c r="H23" s="19"/>
      <c r="I23" s="35"/>
      <c r="J23" s="33"/>
      <c r="K23" s="32"/>
      <c r="L23" s="33"/>
      <c r="M23" s="14"/>
      <c r="N23" s="25"/>
    </row>
    <row r="24" spans="1:14" x14ac:dyDescent="0.2">
      <c r="A24" s="8" t="s">
        <v>58</v>
      </c>
      <c r="B24" s="35">
        <f>19042.46*7.82</f>
        <v>148912.03719999999</v>
      </c>
      <c r="C24" s="35">
        <f>19042.46*7.41</f>
        <v>141104.6286</v>
      </c>
      <c r="D24" s="32">
        <f t="shared" si="0"/>
        <v>7807.4085999999952</v>
      </c>
      <c r="E24" s="22">
        <f t="shared" si="1"/>
        <v>0.94757033248081846</v>
      </c>
      <c r="F24" s="42"/>
      <c r="G24" s="43"/>
      <c r="H24" s="58"/>
      <c r="I24" s="35"/>
      <c r="J24" s="33"/>
      <c r="K24" s="32"/>
      <c r="L24" s="33"/>
      <c r="M24" s="14"/>
      <c r="N24" s="59"/>
    </row>
    <row r="25" spans="1:14" x14ac:dyDescent="0.2">
      <c r="A25" s="8" t="s">
        <v>54</v>
      </c>
      <c r="B25" s="36">
        <f>19938.52*6.74</f>
        <v>134385.62480000002</v>
      </c>
      <c r="C25" s="36">
        <f>19938.52*6.6</f>
        <v>131594.23199999999</v>
      </c>
      <c r="D25" s="32">
        <f t="shared" si="0"/>
        <v>2791.3928000000305</v>
      </c>
      <c r="E25" s="22">
        <f t="shared" si="1"/>
        <v>0.979228486646884</v>
      </c>
      <c r="F25" s="42"/>
      <c r="G25" s="43"/>
      <c r="H25" s="19"/>
      <c r="I25" s="35"/>
      <c r="J25" s="33"/>
      <c r="K25" s="32"/>
      <c r="L25" s="33"/>
      <c r="M25" s="14"/>
      <c r="N25" s="25"/>
    </row>
    <row r="26" spans="1:14" x14ac:dyDescent="0.2">
      <c r="A26" s="8" t="s">
        <v>55</v>
      </c>
      <c r="B26" s="36">
        <f>10506.89*11.12</f>
        <v>116836.61679999999</v>
      </c>
      <c r="C26" s="36">
        <f>10506.89*8.44</f>
        <v>88678.151599999983</v>
      </c>
      <c r="D26" s="32">
        <f t="shared" si="0"/>
        <v>28158.465200000006</v>
      </c>
      <c r="E26" s="22">
        <f t="shared" si="1"/>
        <v>0.75899280575539563</v>
      </c>
      <c r="F26" s="42"/>
      <c r="G26" s="43"/>
      <c r="H26" s="19"/>
      <c r="I26" s="35"/>
      <c r="J26" s="33"/>
      <c r="K26" s="32"/>
      <c r="L26" s="33"/>
      <c r="M26" s="14"/>
      <c r="N26" s="25"/>
    </row>
    <row r="27" spans="1:14" x14ac:dyDescent="0.2">
      <c r="A27" s="48" t="s">
        <v>40</v>
      </c>
      <c r="B27" s="44">
        <f>SUM(B22:B26)</f>
        <v>600392.348</v>
      </c>
      <c r="C27" s="45">
        <f>SUM(C22:C26)</f>
        <v>558653.07539999997</v>
      </c>
      <c r="D27" s="46">
        <f t="shared" si="0"/>
        <v>41739.272600000026</v>
      </c>
      <c r="E27" s="47">
        <f t="shared" si="1"/>
        <v>0.93048000571786094</v>
      </c>
      <c r="F27" s="42" t="s">
        <v>48</v>
      </c>
      <c r="G27" s="55"/>
      <c r="H27" s="45">
        <f>17.0230387975525*70094.37</f>
        <v>1193219.18</v>
      </c>
      <c r="I27" s="35">
        <f>H27-B27</f>
        <v>592826.83199999994</v>
      </c>
      <c r="J27" s="33">
        <f>H27/B27</f>
        <v>1.9873990465981088</v>
      </c>
      <c r="K27" s="32">
        <f>H27-C27</f>
        <v>634566.10459999996</v>
      </c>
      <c r="L27" s="33">
        <f>H27/C27</f>
        <v>2.1358858163371708</v>
      </c>
      <c r="M27" s="14"/>
    </row>
    <row r="28" spans="1:14" x14ac:dyDescent="0.2">
      <c r="A28" s="3" t="s">
        <v>40</v>
      </c>
      <c r="B28" s="49">
        <f>B21+B27</f>
        <v>1292776.2375999999</v>
      </c>
      <c r="C28" s="50">
        <f>C21+C27</f>
        <v>1150287.2958</v>
      </c>
      <c r="D28" s="46">
        <f t="shared" ref="D28:D29" si="2">C28-B28</f>
        <v>-142488.94179999991</v>
      </c>
      <c r="E28" s="47">
        <f t="shared" ref="E28:E30" si="3">C28/B28</f>
        <v>0.8897806614511059</v>
      </c>
      <c r="F28" s="51" t="s">
        <v>40</v>
      </c>
      <c r="G28" s="51"/>
      <c r="H28" s="49">
        <f>H21+H27</f>
        <v>2396972.4599999981</v>
      </c>
      <c r="I28" s="52">
        <f>H28-B28</f>
        <v>1104196.2223999982</v>
      </c>
      <c r="J28" s="53">
        <f t="shared" ref="J28:J30" si="4">H28/B28</f>
        <v>1.8541278763368247</v>
      </c>
      <c r="K28" s="52">
        <f>H28-C28</f>
        <v>1246685.1641999981</v>
      </c>
      <c r="L28" s="54">
        <f t="shared" ref="L28:L30" si="5">H28/C28</f>
        <v>2.0838032974474916</v>
      </c>
      <c r="M28" s="14">
        <f>SUM(M16:M27)</f>
        <v>0</v>
      </c>
    </row>
    <row r="29" spans="1:14" x14ac:dyDescent="0.2">
      <c r="A29" s="3" t="s">
        <v>33</v>
      </c>
      <c r="B29" s="19">
        <f>B28*0.1</f>
        <v>129277.62375999999</v>
      </c>
      <c r="C29" s="19">
        <f>C28*0.1</f>
        <v>115028.72958</v>
      </c>
      <c r="D29" s="32">
        <f t="shared" si="2"/>
        <v>-14248.894179999988</v>
      </c>
      <c r="E29" s="21">
        <f t="shared" si="3"/>
        <v>0.8897806614511059</v>
      </c>
      <c r="F29" s="31" t="s">
        <v>33</v>
      </c>
      <c r="G29" s="31"/>
      <c r="H29" s="39">
        <f>H28*0.1</f>
        <v>239697.24599999981</v>
      </c>
      <c r="I29" s="14">
        <f t="shared" ref="I29:I30" si="6">H29-B29</f>
        <v>110419.62223999982</v>
      </c>
      <c r="J29" s="41">
        <f t="shared" si="4"/>
        <v>1.8541278763368247</v>
      </c>
      <c r="K29" s="14">
        <f t="shared" ref="K29:K30" si="7">H29-C29</f>
        <v>124668.51641999981</v>
      </c>
      <c r="L29" s="41">
        <f t="shared" si="5"/>
        <v>2.0838032974474916</v>
      </c>
      <c r="M29" s="14">
        <f>M28*0.21</f>
        <v>0</v>
      </c>
    </row>
    <row r="30" spans="1:14" x14ac:dyDescent="0.2">
      <c r="A30" s="3" t="s">
        <v>34</v>
      </c>
      <c r="B30" s="19">
        <f>B28+B29</f>
        <v>1422053.86136</v>
      </c>
      <c r="C30" s="19">
        <f>C28+C29</f>
        <v>1265316.02538</v>
      </c>
      <c r="D30" s="32">
        <f t="shared" ref="D30" si="8">C30-B30</f>
        <v>-156737.83597999997</v>
      </c>
      <c r="E30" s="21">
        <f t="shared" si="3"/>
        <v>0.8897806614511059</v>
      </c>
      <c r="F30" s="31" t="s">
        <v>34</v>
      </c>
      <c r="G30" s="31"/>
      <c r="H30" s="39">
        <f>SUM(H28:H29)</f>
        <v>2636669.7059999979</v>
      </c>
      <c r="I30" s="14">
        <f t="shared" si="6"/>
        <v>1214615.8446399979</v>
      </c>
      <c r="J30" s="41">
        <f t="shared" si="4"/>
        <v>1.8541278763368245</v>
      </c>
      <c r="K30" s="14">
        <f t="shared" si="7"/>
        <v>1371353.6806199979</v>
      </c>
      <c r="L30" s="41">
        <f t="shared" si="5"/>
        <v>2.0838032974474916</v>
      </c>
      <c r="M30" s="14">
        <f>SUM(M28:M29)</f>
        <v>0</v>
      </c>
    </row>
    <row r="31" spans="1:14" x14ac:dyDescent="0.2">
      <c r="A31" s="5" t="s">
        <v>20</v>
      </c>
      <c r="B31" s="12" t="s">
        <v>21</v>
      </c>
      <c r="C31" s="12" t="s">
        <v>22</v>
      </c>
      <c r="D31" s="12" t="s">
        <v>26</v>
      </c>
      <c r="E31" s="12" t="s">
        <v>25</v>
      </c>
      <c r="F31" s="12"/>
      <c r="G31" s="13"/>
      <c r="H31" s="12" t="s">
        <v>23</v>
      </c>
      <c r="I31" s="12" t="s">
        <v>24</v>
      </c>
      <c r="J31" s="12" t="s">
        <v>29</v>
      </c>
      <c r="K31" s="12" t="s">
        <v>27</v>
      </c>
      <c r="L31" s="12" t="s">
        <v>30</v>
      </c>
    </row>
    <row r="32" spans="1:14" x14ac:dyDescent="0.2">
      <c r="A32" s="3" t="s">
        <v>10</v>
      </c>
      <c r="B32" s="60" t="s">
        <v>38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</row>
    <row r="33" spans="1:13" ht="14.1" customHeight="1" x14ac:dyDescent="0.2">
      <c r="A33" s="3" t="s">
        <v>11</v>
      </c>
      <c r="B33" s="60" t="s">
        <v>39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</row>
    <row r="34" spans="1:13" x14ac:dyDescent="0.2">
      <c r="A34" s="3" t="s">
        <v>13</v>
      </c>
      <c r="B34" s="60" t="s">
        <v>28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</row>
    <row r="35" spans="1:13" x14ac:dyDescent="0.2">
      <c r="A35" s="3" t="s">
        <v>14</v>
      </c>
      <c r="B35" s="60" t="s">
        <v>18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</row>
    <row r="36" spans="1:13" x14ac:dyDescent="0.2">
      <c r="A36" s="3" t="s">
        <v>15</v>
      </c>
      <c r="B36" s="60" t="s">
        <v>19</v>
      </c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</row>
    <row r="37" spans="1:13" x14ac:dyDescent="0.2">
      <c r="A37" s="16" t="s">
        <v>46</v>
      </c>
      <c r="B37" s="60" t="s">
        <v>61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</row>
    <row r="39" spans="1:13" x14ac:dyDescent="0.2">
      <c r="C39" s="27"/>
      <c r="E39" s="29"/>
    </row>
    <row r="40" spans="1:13" x14ac:dyDescent="0.2">
      <c r="C40" s="26"/>
      <c r="D40" s="26"/>
      <c r="E40" s="28"/>
      <c r="F40" s="25"/>
    </row>
    <row r="41" spans="1:13" x14ac:dyDescent="0.2">
      <c r="E41" s="29"/>
    </row>
  </sheetData>
  <mergeCells count="26">
    <mergeCell ref="A1:M1"/>
    <mergeCell ref="B3:M3"/>
    <mergeCell ref="B6:M6"/>
    <mergeCell ref="A13:A15"/>
    <mergeCell ref="H13:H15"/>
    <mergeCell ref="M13:M15"/>
    <mergeCell ref="F12:M12"/>
    <mergeCell ref="K13:L14"/>
    <mergeCell ref="F13:G15"/>
    <mergeCell ref="B7:M7"/>
    <mergeCell ref="B8:M8"/>
    <mergeCell ref="B2:M2"/>
    <mergeCell ref="A9:M9"/>
    <mergeCell ref="A11:M11"/>
    <mergeCell ref="I13:J13"/>
    <mergeCell ref="B12:E12"/>
    <mergeCell ref="C13:E13"/>
    <mergeCell ref="B13:B15"/>
    <mergeCell ref="D14:E14"/>
    <mergeCell ref="C14:C15"/>
    <mergeCell ref="B32:M32"/>
    <mergeCell ref="B37:M37"/>
    <mergeCell ref="B36:M36"/>
    <mergeCell ref="B33:M33"/>
    <mergeCell ref="B34:M34"/>
    <mergeCell ref="B35:M35"/>
  </mergeCells>
  <phoneticPr fontId="1" type="noConversion"/>
  <pageMargins left="0.55118110236220474" right="0.47244094488188981" top="1.6141732283464567" bottom="0.98425196850393704" header="0.59055118110236227" footer="0.47244094488188981"/>
  <pageSetup paperSize="9" scale="85" orientation="landscape" horizontalDpi="4294967295" verticalDpi="4294967295" r:id="rId1"/>
  <headerFooter scaleWithDoc="0">
    <oddHeader>&amp;L&amp;G&amp;C&amp;"-,Negrita"&amp;K0084C9Anexo al Informe de Necesidad e Idoneidad (INI) de los expedientes de contratación:
comparación de la nueva licitación con la licitación y adjudicación previa</oddHeader>
    <oddFooter>&amp;L&amp;G&amp;R&amp;"-,Normal"&amp;9&amp;K0084C9Página &amp;P de &amp;N</oddFooter>
  </headerFooter>
  <customProperties>
    <customPr name="EpmWorksheetKeyString_GUID" r:id="rId2"/>
  </customProperties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memoria Lote I y II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 Ferrer, Román</dc:creator>
  <cp:lastModifiedBy>Canelo Chamorro, Vanessa</cp:lastModifiedBy>
  <cp:lastPrinted>2023-05-18T14:03:12Z</cp:lastPrinted>
  <dcterms:created xsi:type="dcterms:W3CDTF">2010-03-01T11:48:19Z</dcterms:created>
  <dcterms:modified xsi:type="dcterms:W3CDTF">2024-06-13T08:00:00Z</dcterms:modified>
</cp:coreProperties>
</file>