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AB972947-03B1-43F5-944D-B2E8AA635125}" xr6:coauthVersionLast="47" xr6:coauthVersionMax="47" xr10:uidLastSave="{00000000-0000-0000-0000-000000000000}"/>
  <bookViews>
    <workbookView xWindow="-120" yWindow="-120" windowWidth="29040" windowHeight="15720" xr2:uid="{F043CD35-4EC0-4E73-B105-4F3FF39130F0}"/>
  </bookViews>
  <sheets>
    <sheet name="CERTO" sheetId="1" r:id="rId1"/>
    <sheet name="Notas" sheetId="7" r:id="rId2"/>
    <sheet name="IMPORTE DE ADJUDICACIÓN" sheetId="5" r:id="rId3"/>
    <sheet name="REFERENCIA ANUAL LOTE 2" sheetId="6" state="hidden" r:id="rId4"/>
  </sheets>
  <externalReferences>
    <externalReference r:id="rId5"/>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9" i="1" l="1"/>
  <c r="F11" i="6" l="1"/>
  <c r="I85" i="1" l="1"/>
  <c r="G85" i="1"/>
  <c r="D6" i="1"/>
  <c r="D5" i="1" s="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D4" i="1" l="1"/>
  <c r="D3" i="1" s="1"/>
  <c r="I220" i="1" l="1"/>
  <c r="G220" i="1"/>
  <c r="G45" i="1" l="1"/>
  <c r="G44" i="1"/>
  <c r="I178" i="1"/>
  <c r="V29" i="6"/>
  <c r="V24" i="6"/>
  <c r="V9" i="6"/>
  <c r="R39" i="6"/>
  <c r="R38" i="6"/>
  <c r="R35" i="6"/>
  <c r="R34" i="6"/>
  <c r="R33" i="6"/>
  <c r="R32" i="6"/>
  <c r="R31" i="6"/>
  <c r="R30" i="6"/>
  <c r="R27" i="6"/>
  <c r="R26" i="6"/>
  <c r="R25" i="6"/>
  <c r="R23" i="6"/>
  <c r="R22" i="6"/>
  <c r="R21" i="6"/>
  <c r="R20" i="6"/>
  <c r="R18" i="6"/>
  <c r="R17" i="6"/>
  <c r="R16" i="6"/>
  <c r="R14" i="6"/>
  <c r="R13" i="6"/>
  <c r="R11" i="6"/>
  <c r="R8" i="6"/>
  <c r="R7" i="6"/>
  <c r="R6" i="6"/>
  <c r="R5" i="6"/>
  <c r="R4" i="6"/>
  <c r="R3" i="6"/>
  <c r="N39" i="6"/>
  <c r="N38" i="6"/>
  <c r="N35" i="6"/>
  <c r="N34" i="6"/>
  <c r="N33" i="6"/>
  <c r="N32" i="6"/>
  <c r="N31" i="6"/>
  <c r="N30" i="6"/>
  <c r="N27" i="6"/>
  <c r="N26" i="6"/>
  <c r="N25" i="6"/>
  <c r="N23" i="6"/>
  <c r="N22" i="6"/>
  <c r="N21" i="6"/>
  <c r="N20" i="6"/>
  <c r="N18" i="6"/>
  <c r="N17" i="6"/>
  <c r="N16" i="6"/>
  <c r="N14" i="6"/>
  <c r="N13" i="6"/>
  <c r="N11" i="6"/>
  <c r="N8" i="6"/>
  <c r="N7" i="6"/>
  <c r="N6" i="6"/>
  <c r="N5" i="6"/>
  <c r="N4" i="6"/>
  <c r="N3" i="6"/>
  <c r="J39" i="6"/>
  <c r="J38" i="6"/>
  <c r="J35" i="6"/>
  <c r="J34" i="6"/>
  <c r="J33" i="6"/>
  <c r="J32" i="6"/>
  <c r="J31" i="6"/>
  <c r="J30" i="6"/>
  <c r="J27" i="6"/>
  <c r="J26" i="6"/>
  <c r="J25" i="6"/>
  <c r="J23" i="6"/>
  <c r="J22" i="6"/>
  <c r="J21" i="6"/>
  <c r="J20" i="6"/>
  <c r="J18" i="6"/>
  <c r="J17" i="6"/>
  <c r="J16" i="6"/>
  <c r="J14" i="6"/>
  <c r="J13" i="6"/>
  <c r="J11" i="6"/>
  <c r="J8" i="6"/>
  <c r="J7" i="6"/>
  <c r="J6" i="6"/>
  <c r="J5" i="6"/>
  <c r="J4" i="6"/>
  <c r="J3" i="6"/>
  <c r="F39" i="6"/>
  <c r="F38" i="6"/>
  <c r="F35" i="6"/>
  <c r="F34" i="6"/>
  <c r="F33" i="6"/>
  <c r="F32" i="6"/>
  <c r="F31" i="6"/>
  <c r="F30" i="6"/>
  <c r="F27" i="6"/>
  <c r="F25" i="6"/>
  <c r="F23" i="6"/>
  <c r="F22" i="6"/>
  <c r="F21" i="6"/>
  <c r="F20" i="6"/>
  <c r="F19" i="6"/>
  <c r="F18" i="6"/>
  <c r="F17" i="6"/>
  <c r="F16" i="6"/>
  <c r="F14" i="6"/>
  <c r="F13" i="6"/>
  <c r="F4" i="6"/>
  <c r="F5" i="6"/>
  <c r="F6" i="6"/>
  <c r="F7" i="6"/>
  <c r="F8" i="6"/>
  <c r="I54" i="1"/>
  <c r="G178" i="1"/>
  <c r="G96" i="1"/>
  <c r="G54" i="1"/>
  <c r="I96" i="1" l="1"/>
  <c r="G208" i="1"/>
  <c r="G209" i="1"/>
  <c r="G210" i="1"/>
  <c r="G211" i="1"/>
  <c r="G212" i="1"/>
  <c r="G213" i="1"/>
  <c r="G215" i="1"/>
  <c r="G216" i="1"/>
  <c r="G217" i="1"/>
  <c r="G218" i="1"/>
  <c r="G203" i="1"/>
  <c r="G204" i="1"/>
  <c r="G205" i="1"/>
  <c r="I202" i="1"/>
  <c r="G190" i="1"/>
  <c r="G191" i="1"/>
  <c r="G192" i="1"/>
  <c r="G193" i="1"/>
  <c r="G194" i="1"/>
  <c r="G195" i="1"/>
  <c r="G196" i="1"/>
  <c r="G197" i="1"/>
  <c r="G198" i="1"/>
  <c r="G199" i="1"/>
  <c r="G200" i="1"/>
  <c r="G201" i="1"/>
  <c r="G189" i="1"/>
  <c r="G24" i="1"/>
  <c r="G21" i="1"/>
  <c r="I21" i="1"/>
  <c r="G174" i="1"/>
  <c r="G175" i="1"/>
  <c r="G176" i="1"/>
  <c r="G173" i="1"/>
  <c r="I176" i="1"/>
  <c r="G181" i="1"/>
  <c r="G182" i="1"/>
  <c r="I182" i="1"/>
  <c r="G183" i="1"/>
  <c r="G184" i="1"/>
  <c r="I184" i="1"/>
  <c r="G185" i="1"/>
  <c r="G186" i="1"/>
  <c r="I186" i="1"/>
  <c r="G165" i="1"/>
  <c r="G160" i="1"/>
  <c r="G161" i="1"/>
  <c r="I161" i="1"/>
  <c r="G162" i="1"/>
  <c r="G154" i="1"/>
  <c r="G155" i="1"/>
  <c r="G156" i="1"/>
  <c r="G148" i="1"/>
  <c r="G149" i="1"/>
  <c r="G150" i="1"/>
  <c r="G151" i="1"/>
  <c r="I151" i="1"/>
  <c r="G145" i="1"/>
  <c r="G134" i="1"/>
  <c r="G135" i="1"/>
  <c r="G136" i="1"/>
  <c r="G133" i="1"/>
  <c r="G125" i="1"/>
  <c r="I125" i="1"/>
  <c r="G122" i="1"/>
  <c r="I122" i="1"/>
  <c r="G120" i="1"/>
  <c r="I120" i="1"/>
  <c r="G115" i="1"/>
  <c r="I115" i="1"/>
  <c r="G110" i="1"/>
  <c r="I110" i="1"/>
  <c r="G111" i="1"/>
  <c r="I111" i="1"/>
  <c r="G108" i="1"/>
  <c r="I108" i="1"/>
  <c r="G105" i="1"/>
  <c r="I105" i="1"/>
  <c r="G91" i="1"/>
  <c r="I91" i="1"/>
  <c r="G92" i="1"/>
  <c r="I92" i="1"/>
  <c r="G83" i="1"/>
  <c r="I83" i="1"/>
  <c r="G80" i="1"/>
  <c r="I80" i="1"/>
  <c r="G78" i="1"/>
  <c r="I78" i="1"/>
  <c r="G73" i="1"/>
  <c r="I73" i="1"/>
  <c r="G69" i="1"/>
  <c r="I69" i="1"/>
  <c r="G66" i="1"/>
  <c r="I66" i="1"/>
  <c r="G63" i="1"/>
  <c r="I63" i="1"/>
  <c r="G49" i="1"/>
  <c r="I49" i="1"/>
  <c r="G50" i="1"/>
  <c r="I50" i="1"/>
  <c r="G41" i="1"/>
  <c r="I41" i="1"/>
  <c r="G38" i="1"/>
  <c r="I38" i="1"/>
  <c r="G36" i="1"/>
  <c r="G27" i="1"/>
  <c r="I123" i="1"/>
  <c r="I93" i="1"/>
  <c r="I207" i="1"/>
  <c r="I187" i="1"/>
  <c r="I167" i="1"/>
  <c r="I168" i="1"/>
  <c r="I169" i="1"/>
  <c r="I170" i="1"/>
  <c r="I171" i="1"/>
  <c r="I166" i="1"/>
  <c r="I163" i="1"/>
  <c r="I158" i="1"/>
  <c r="I159" i="1"/>
  <c r="I157" i="1"/>
  <c r="I153" i="1"/>
  <c r="I152" i="1"/>
  <c r="I147" i="1"/>
  <c r="I140" i="1"/>
  <c r="I141" i="1"/>
  <c r="I143" i="1"/>
  <c r="I144" i="1"/>
  <c r="I139" i="1"/>
  <c r="I88" i="1"/>
  <c r="I81" i="1"/>
  <c r="I79" i="1"/>
  <c r="I74" i="1"/>
  <c r="I45" i="1"/>
  <c r="I15" i="1"/>
  <c r="G130" i="1"/>
  <c r="G139" i="1"/>
  <c r="G140" i="1"/>
  <c r="G141" i="1"/>
  <c r="G142" i="1"/>
  <c r="I142" i="1"/>
  <c r="G143" i="1"/>
  <c r="G144" i="1"/>
  <c r="I145" i="1"/>
  <c r="G147" i="1"/>
  <c r="I148" i="1"/>
  <c r="I149" i="1"/>
  <c r="I150" i="1"/>
  <c r="G152" i="1"/>
  <c r="G153" i="1"/>
  <c r="I154" i="1"/>
  <c r="I155" i="1"/>
  <c r="I156" i="1"/>
  <c r="G157" i="1"/>
  <c r="G158" i="1"/>
  <c r="G159" i="1"/>
  <c r="I160" i="1"/>
  <c r="I162" i="1"/>
  <c r="G163" i="1"/>
  <c r="I165" i="1"/>
  <c r="G166" i="1"/>
  <c r="G167" i="1"/>
  <c r="G168" i="1"/>
  <c r="G169" i="1"/>
  <c r="G170" i="1"/>
  <c r="G171" i="1"/>
  <c r="I173" i="1"/>
  <c r="I174" i="1"/>
  <c r="I175" i="1"/>
  <c r="I181" i="1"/>
  <c r="I183" i="1"/>
  <c r="I185" i="1"/>
  <c r="G187" i="1"/>
  <c r="I189" i="1"/>
  <c r="I190" i="1"/>
  <c r="I191" i="1"/>
  <c r="I192" i="1"/>
  <c r="I193" i="1"/>
  <c r="I194" i="1"/>
  <c r="I195" i="1"/>
  <c r="I196" i="1"/>
  <c r="I197" i="1"/>
  <c r="I198" i="1"/>
  <c r="I199" i="1"/>
  <c r="I200" i="1"/>
  <c r="I201" i="1"/>
  <c r="G202" i="1"/>
  <c r="I203" i="1"/>
  <c r="I204" i="1"/>
  <c r="I205" i="1"/>
  <c r="G207" i="1"/>
  <c r="I208" i="1"/>
  <c r="I209" i="1"/>
  <c r="I210" i="1"/>
  <c r="I211" i="1"/>
  <c r="I212" i="1"/>
  <c r="I213" i="1"/>
  <c r="I215" i="1"/>
  <c r="I216" i="1"/>
  <c r="I217" i="1"/>
  <c r="I218" i="1"/>
  <c r="G123" i="1"/>
  <c r="G121" i="1"/>
  <c r="G116" i="1"/>
  <c r="G114" i="1"/>
  <c r="G93" i="1"/>
  <c r="G88" i="1"/>
  <c r="G81" i="1"/>
  <c r="G79" i="1"/>
  <c r="G74" i="1"/>
  <c r="G72" i="1"/>
  <c r="G68" i="1"/>
  <c r="I13" i="5" l="1"/>
  <c r="D13" i="5" s="1"/>
  <c r="I12" i="5"/>
  <c r="D12" i="5" s="1"/>
  <c r="K39" i="6"/>
  <c r="G39" i="6"/>
  <c r="K38" i="6"/>
  <c r="G38" i="6"/>
  <c r="S35" i="6"/>
  <c r="O35" i="6"/>
  <c r="K35" i="6"/>
  <c r="G35" i="6"/>
  <c r="S34" i="6"/>
  <c r="O34" i="6"/>
  <c r="K34" i="6"/>
  <c r="G34" i="6"/>
  <c r="S33" i="6"/>
  <c r="O33" i="6"/>
  <c r="K33" i="6"/>
  <c r="G33" i="6"/>
  <c r="S32" i="6"/>
  <c r="O32" i="6"/>
  <c r="K32" i="6"/>
  <c r="G32" i="6"/>
  <c r="S31" i="6"/>
  <c r="O31" i="6"/>
  <c r="K31" i="6"/>
  <c r="G31" i="6"/>
  <c r="S30" i="6"/>
  <c r="O30" i="6"/>
  <c r="K30" i="6"/>
  <c r="G30" i="6"/>
  <c r="W29" i="6"/>
  <c r="W40" i="6" s="1"/>
  <c r="S27" i="6"/>
  <c r="O27" i="6"/>
  <c r="K27" i="6"/>
  <c r="G27" i="6"/>
  <c r="O25" i="6"/>
  <c r="K25" i="6"/>
  <c r="G25" i="6"/>
  <c r="W24" i="6"/>
  <c r="W28" i="6" s="1"/>
  <c r="S23" i="6"/>
  <c r="O23" i="6"/>
  <c r="K23" i="6"/>
  <c r="G23" i="6"/>
  <c r="S22" i="6"/>
  <c r="O22" i="6"/>
  <c r="K22" i="6"/>
  <c r="G22" i="6"/>
  <c r="S21" i="6"/>
  <c r="O21" i="6"/>
  <c r="K21" i="6"/>
  <c r="G21" i="6"/>
  <c r="O20" i="6"/>
  <c r="K20" i="6"/>
  <c r="G20" i="6"/>
  <c r="G19" i="6"/>
  <c r="O18" i="6"/>
  <c r="K18" i="6"/>
  <c r="G18" i="6"/>
  <c r="S17" i="6"/>
  <c r="O17" i="6"/>
  <c r="K17" i="6"/>
  <c r="G17" i="6"/>
  <c r="S16" i="6"/>
  <c r="O16" i="6"/>
  <c r="K16" i="6"/>
  <c r="G16" i="6"/>
  <c r="K14" i="6"/>
  <c r="G14" i="6"/>
  <c r="O13" i="6"/>
  <c r="K13" i="6"/>
  <c r="G13" i="6"/>
  <c r="S11" i="6"/>
  <c r="O11" i="6"/>
  <c r="O28" i="6" s="1"/>
  <c r="G11" i="6"/>
  <c r="W9" i="6"/>
  <c r="W10" i="6" s="1"/>
  <c r="S8" i="6"/>
  <c r="L8" i="6"/>
  <c r="O8" i="6" s="1"/>
  <c r="K8" i="6"/>
  <c r="H8" i="6"/>
  <c r="H11" i="6" s="1"/>
  <c r="K11" i="6" s="1"/>
  <c r="D8" i="6"/>
  <c r="G8" i="6" s="1"/>
  <c r="P7" i="6"/>
  <c r="S7" i="6" s="1"/>
  <c r="O7" i="6"/>
  <c r="K7" i="6"/>
  <c r="G7" i="6"/>
  <c r="P6" i="6"/>
  <c r="S6" i="6" s="1"/>
  <c r="L6" i="6"/>
  <c r="O6" i="6" s="1"/>
  <c r="H6" i="6"/>
  <c r="K6" i="6" s="1"/>
  <c r="D6" i="6"/>
  <c r="G6" i="6" s="1"/>
  <c r="P5" i="6"/>
  <c r="S5" i="6" s="1"/>
  <c r="L5" i="6"/>
  <c r="O5" i="6" s="1"/>
  <c r="H5" i="6"/>
  <c r="K5" i="6" s="1"/>
  <c r="D5" i="6"/>
  <c r="G5" i="6" s="1"/>
  <c r="P4" i="6"/>
  <c r="S4" i="6" s="1"/>
  <c r="L4" i="6"/>
  <c r="O4" i="6" s="1"/>
  <c r="H4" i="6"/>
  <c r="K4" i="6" s="1"/>
  <c r="D4" i="6"/>
  <c r="G4" i="6" s="1"/>
  <c r="P3" i="6"/>
  <c r="S3" i="6" s="1"/>
  <c r="L3" i="6"/>
  <c r="O3" i="6" s="1"/>
  <c r="H3" i="6"/>
  <c r="K3" i="6" s="1"/>
  <c r="D3" i="6"/>
  <c r="G3" i="6" s="1"/>
  <c r="D1" i="5"/>
  <c r="E1" i="5" s="1"/>
  <c r="F1" i="5" s="1"/>
  <c r="F12" i="5" l="1"/>
  <c r="C13" i="5"/>
  <c r="E13" i="5"/>
  <c r="F13" i="5"/>
  <c r="E12" i="5"/>
  <c r="C12" i="5"/>
  <c r="S40" i="6"/>
  <c r="G40" i="6"/>
  <c r="G28" i="6"/>
  <c r="O40" i="6"/>
  <c r="W41" i="6"/>
  <c r="S10" i="6"/>
  <c r="K40" i="6"/>
  <c r="S28" i="6"/>
  <c r="K10" i="6"/>
  <c r="K28" i="6"/>
  <c r="G10" i="6"/>
  <c r="O10" i="6"/>
  <c r="O41" i="6" s="1"/>
  <c r="G12" i="5" l="1"/>
  <c r="G13" i="5"/>
  <c r="G41" i="6"/>
  <c r="S41" i="6"/>
  <c r="K41" i="6"/>
  <c r="C50" i="6" l="1"/>
  <c r="I136" i="1" l="1"/>
  <c r="I131" i="1"/>
  <c r="I133" i="1"/>
  <c r="I100" i="1"/>
  <c r="I101" i="1"/>
  <c r="I102" i="1"/>
  <c r="I103" i="1"/>
  <c r="I104" i="1"/>
  <c r="I107" i="1"/>
  <c r="I109" i="1"/>
  <c r="I112" i="1"/>
  <c r="I113" i="1"/>
  <c r="I116" i="1"/>
  <c r="I117" i="1"/>
  <c r="I118" i="1"/>
  <c r="I119" i="1"/>
  <c r="I126" i="1"/>
  <c r="I127" i="1"/>
  <c r="I128" i="1"/>
  <c r="I129" i="1"/>
  <c r="I99" i="1"/>
  <c r="I94" i="1"/>
  <c r="I86" i="1"/>
  <c r="I89" i="1"/>
  <c r="I75" i="1"/>
  <c r="I76" i="1"/>
  <c r="I77" i="1"/>
  <c r="I84" i="1"/>
  <c r="I58" i="1"/>
  <c r="I59" i="1"/>
  <c r="I60" i="1"/>
  <c r="I61" i="1"/>
  <c r="I62" i="1"/>
  <c r="I65" i="1"/>
  <c r="I67" i="1"/>
  <c r="I70" i="1"/>
  <c r="I71" i="1"/>
  <c r="I57" i="1"/>
  <c r="I51" i="1"/>
  <c r="I52" i="1"/>
  <c r="I68" i="1"/>
  <c r="I72" i="1"/>
  <c r="G99" i="1"/>
  <c r="G100" i="1"/>
  <c r="G101" i="1"/>
  <c r="G102" i="1"/>
  <c r="G103" i="1"/>
  <c r="G104" i="1"/>
  <c r="G107" i="1"/>
  <c r="G109" i="1"/>
  <c r="G112" i="1"/>
  <c r="G113" i="1"/>
  <c r="I114" i="1"/>
  <c r="G117" i="1"/>
  <c r="G118" i="1"/>
  <c r="G119" i="1"/>
  <c r="I121" i="1"/>
  <c r="G126" i="1"/>
  <c r="G127" i="1"/>
  <c r="G128" i="1"/>
  <c r="G129" i="1"/>
  <c r="I130" i="1"/>
  <c r="G131" i="1"/>
  <c r="I134" i="1"/>
  <c r="I135" i="1"/>
  <c r="G87" i="1"/>
  <c r="G65" i="1"/>
  <c r="G67" i="1"/>
  <c r="G70" i="1"/>
  <c r="G71" i="1"/>
  <c r="G75" i="1"/>
  <c r="G76" i="1"/>
  <c r="G77" i="1"/>
  <c r="G84" i="1"/>
  <c r="G86" i="1"/>
  <c r="G89" i="1"/>
  <c r="G94" i="1"/>
  <c r="G58" i="1"/>
  <c r="G59" i="1"/>
  <c r="G60" i="1"/>
  <c r="G61" i="1"/>
  <c r="G62" i="1"/>
  <c r="G57" i="1"/>
  <c r="I10" i="5" l="1"/>
  <c r="I87" i="1"/>
  <c r="C10" i="5" l="1"/>
  <c r="F10" i="5"/>
  <c r="D10" i="5"/>
  <c r="E10" i="5"/>
  <c r="G51" i="1"/>
  <c r="G52" i="1"/>
  <c r="I44" i="1"/>
  <c r="G46" i="1"/>
  <c r="I46" i="1"/>
  <c r="G47" i="1"/>
  <c r="I47" i="1"/>
  <c r="I23" i="1"/>
  <c r="I24" i="1"/>
  <c r="I25" i="1"/>
  <c r="I26" i="1"/>
  <c r="I27" i="1"/>
  <c r="I28" i="1"/>
  <c r="I29" i="1"/>
  <c r="I30" i="1"/>
  <c r="I31" i="1"/>
  <c r="I32" i="1"/>
  <c r="I33" i="1"/>
  <c r="I34" i="1"/>
  <c r="I35" i="1"/>
  <c r="I36" i="1"/>
  <c r="I37" i="1"/>
  <c r="G23" i="1"/>
  <c r="G25" i="1"/>
  <c r="G26" i="1"/>
  <c r="G28" i="1"/>
  <c r="G29" i="1"/>
  <c r="G30" i="1"/>
  <c r="G31" i="1"/>
  <c r="G32" i="1"/>
  <c r="G33" i="1"/>
  <c r="G34" i="1"/>
  <c r="G35" i="1"/>
  <c r="G37" i="1"/>
  <c r="I16" i="1"/>
  <c r="I17" i="1"/>
  <c r="I18" i="1"/>
  <c r="G10" i="5" l="1"/>
  <c r="G15" i="1"/>
  <c r="G16" i="1"/>
  <c r="G17" i="1"/>
  <c r="G18" i="1"/>
  <c r="I5" i="5" l="1"/>
  <c r="G43" i="1"/>
  <c r="I43" i="1"/>
  <c r="I19" i="1"/>
  <c r="I20" i="1"/>
  <c r="I39" i="1"/>
  <c r="I42" i="1"/>
  <c r="G19" i="1"/>
  <c r="G20" i="1"/>
  <c r="G39" i="1"/>
  <c r="G42" i="1"/>
  <c r="F7" i="1"/>
  <c r="H6" i="1" l="1"/>
  <c r="I11" i="5"/>
  <c r="D7" i="1"/>
  <c r="D8" i="1" s="1"/>
  <c r="C11" i="5" l="1"/>
  <c r="D11" i="5"/>
  <c r="E11" i="5"/>
  <c r="F11" i="5"/>
  <c r="H5" i="1"/>
  <c r="H4" i="1"/>
  <c r="H7" i="1"/>
  <c r="H8" i="1" s="1"/>
  <c r="G11" i="5" l="1"/>
  <c r="G4" i="5" s="1"/>
  <c r="H3" i="1"/>
  <c r="D4" i="5"/>
  <c r="F4" i="5"/>
  <c r="E4" i="5"/>
  <c r="C4" i="5"/>
  <c r="I4" i="5" l="1"/>
  <c r="J4" i="5" l="1"/>
  <c r="K4" i="5" s="1"/>
</calcChain>
</file>

<file path=xl/sharedStrings.xml><?xml version="1.0" encoding="utf-8"?>
<sst xmlns="http://schemas.openxmlformats.org/spreadsheetml/2006/main" count="768" uniqueCount="193">
  <si>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</si>
  <si>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</si>
  <si>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</si>
  <si>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</si>
  <si>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</si>
  <si>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</si>
  <si>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</si>
  <si>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</si>
  <si>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</si>
  <si>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</si>
  <si>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</si>
  <si>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</si>
  <si>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</si>
  <si>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</si>
  <si>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</si>
  <si>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</si>
  <si>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</si>
  <si>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</si>
  <si>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</si>
  <si>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</si>
  <si>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</si>
  <si>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</si>
  <si>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</si>
  <si>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</si>
  <si>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</si>
  <si>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</si>
  <si>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</si>
  <si>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</si>
  <si>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</si>
  <si>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1.1</t>
  </si>
  <si>
    <t>1.1.1</t>
  </si>
  <si>
    <t>1.2</t>
  </si>
  <si>
    <t>IMPORTE TOTAL DE ADJUDICACIÓN ( sin IVA)</t>
  </si>
  <si>
    <t>(IVA +21 %)</t>
  </si>
  <si>
    <t>IMPORTE TOTAL DE ADJUDICACIÓN (con IVA)</t>
  </si>
  <si>
    <t>Tipo de operación</t>
  </si>
  <si>
    <t>Código</t>
  </si>
  <si>
    <t>Nº Operaciones año tipo</t>
  </si>
  <si>
    <t>LIMPIEZAS ORDINARIAS</t>
  </si>
  <si>
    <t>Limpieza E</t>
  </si>
  <si>
    <t>E</t>
  </si>
  <si>
    <t>Limpieza A</t>
  </si>
  <si>
    <t>A</t>
  </si>
  <si>
    <t>Limpieza (ZX) exterior</t>
  </si>
  <si>
    <t>ZX</t>
  </si>
  <si>
    <t>Limpieza (ZXT) exterior túnel</t>
  </si>
  <si>
    <t>ZXT</t>
  </si>
  <si>
    <t>Limpieza (ZN) interior</t>
  </si>
  <si>
    <t>ZN</t>
  </si>
  <si>
    <t>Limpieza integral (LI)</t>
  </si>
  <si>
    <t>LI:</t>
  </si>
  <si>
    <t>LIMPIEZAS TECNICAS</t>
  </si>
  <si>
    <t>Limpieza de elementos bajo bastidor manual</t>
  </si>
  <si>
    <t>LEBB</t>
  </si>
  <si>
    <t>Limpieza de bastidor y "H" del bogie</t>
  </si>
  <si>
    <t>IB</t>
  </si>
  <si>
    <t>Lavado equipos A/A manual</t>
  </si>
  <si>
    <t>LAAM</t>
  </si>
  <si>
    <t>Soplado equipos A/A manual</t>
  </si>
  <si>
    <t>SAAM</t>
  </si>
  <si>
    <t>Soplado equipos A/A automatizado</t>
  </si>
  <si>
    <t>SAAA</t>
  </si>
  <si>
    <t>Limpieza RCL previa</t>
  </si>
  <si>
    <t>RCLp</t>
  </si>
  <si>
    <t>RCLc</t>
  </si>
  <si>
    <t>Soplado /Aspirado de Elementos manual (Revisión Modular)</t>
  </si>
  <si>
    <t>SBBM</t>
  </si>
  <si>
    <t>Soplado/Aspirado de Elementos automatizado (Revisión Modular)</t>
  </si>
  <si>
    <t>SBBA</t>
  </si>
  <si>
    <t>Limpieza individual de cofres (por coche)</t>
  </si>
  <si>
    <t>LC</t>
  </si>
  <si>
    <t>Limpieza de puertas, camillas y escalera de emergencia</t>
  </si>
  <si>
    <t>PCEE</t>
  </si>
  <si>
    <t>LST</t>
  </si>
  <si>
    <t>Recuperación y tratamiento de lunas frontales</t>
  </si>
  <si>
    <t>RTLF</t>
  </si>
  <si>
    <t>Sustitución de mantas filtrantes</t>
  </si>
  <si>
    <t>FA</t>
  </si>
  <si>
    <t>Limpiezas especiales extraordinarias</t>
  </si>
  <si>
    <t>LEE</t>
  </si>
  <si>
    <t>EM</t>
  </si>
  <si>
    <t>CAMPAÑAS</t>
  </si>
  <si>
    <t>Limpieza de guardabarros</t>
  </si>
  <si>
    <t>LGB</t>
  </si>
  <si>
    <t>Limpieza interior de bastidores de asientos</t>
  </si>
  <si>
    <t>LBA</t>
  </si>
  <si>
    <t>Control de plagas</t>
  </si>
  <si>
    <t>DDD</t>
  </si>
  <si>
    <t>Reposición y colocación de pegatinas (por pegatina)</t>
  </si>
  <si>
    <t>PEG</t>
  </si>
  <si>
    <t>Colocación de perching (por percha)</t>
  </si>
  <si>
    <t>PERC</t>
  </si>
  <si>
    <r>
      <t>Sustitución de film en ventanas interior recinto de viajeros (*m</t>
    </r>
    <r>
      <rPr>
        <vertAlign val="superscript"/>
        <sz val="10"/>
        <rFont val="Arial"/>
        <family val="2"/>
      </rPr>
      <t>2</t>
    </r>
    <r>
      <rPr>
        <sz val="10"/>
        <rFont val="Arial"/>
        <family val="2"/>
      </rPr>
      <t>)</t>
    </r>
  </si>
  <si>
    <t>FILM</t>
  </si>
  <si>
    <t>PUL</t>
  </si>
  <si>
    <t>LIMPIEZAS DE OTRA ÍNDOLE</t>
  </si>
  <si>
    <t>Limpieza de fosos con equipamiento</t>
  </si>
  <si>
    <t>LFE</t>
  </si>
  <si>
    <t>Limpieza de vía con elevadores</t>
  </si>
  <si>
    <t>LVE</t>
  </si>
  <si>
    <t>Limpieza de bienes de producción</t>
  </si>
  <si>
    <t>LBP</t>
  </si>
  <si>
    <t>RBTA</t>
  </si>
  <si>
    <t xml:space="preserve"> SE SOLICITAN PRECIOS POR COCHE</t>
  </si>
  <si>
    <t>UTILIZAR DOS DECIMALES</t>
  </si>
  <si>
    <t>** El precio por jornada se podrá utilizar para cualquier operación extraordinaria y en general para cualquier operación no explicitamente descrita en las diferentes tipologías de limpieza.  Cada jornada equivaldrá a 8 horas de trabajo pudiendo facturase jornadas parciales. Este tipo de trabajo se facturán  con cargo al importe global de adjudicación.</t>
  </si>
  <si>
    <t>Nº de operaciones</t>
  </si>
  <si>
    <t>Pulido totalmente transparente de cristales (*m2)</t>
  </si>
  <si>
    <t>1.1.2</t>
  </si>
  <si>
    <t>1.1.3</t>
  </si>
  <si>
    <t>1.1.4</t>
  </si>
  <si>
    <t>1.2.1</t>
  </si>
  <si>
    <t>1.2.2</t>
  </si>
  <si>
    <t>1.2.3</t>
  </si>
  <si>
    <t>1.2.4</t>
  </si>
  <si>
    <t>1.3</t>
  </si>
  <si>
    <t>1.3.1</t>
  </si>
  <si>
    <t>1.3.2</t>
  </si>
  <si>
    <t>1.3.3</t>
  </si>
  <si>
    <t>1.3.4</t>
  </si>
  <si>
    <t>LOTE B (Lote 2)</t>
  </si>
  <si>
    <t>Línea 4/Tipo 3000</t>
  </si>
  <si>
    <t>11 meses</t>
  </si>
  <si>
    <t>año completo</t>
  </si>
  <si>
    <t>1 mes</t>
  </si>
  <si>
    <t>Año 1 (11 meses)</t>
  </si>
  <si>
    <t>Año 2                              (año completo)</t>
  </si>
  <si>
    <t>Año 3                            (año completo)</t>
  </si>
  <si>
    <t>Año 4                   (año completo)</t>
  </si>
  <si>
    <t>Año 4                   (1 mes)</t>
  </si>
  <si>
    <t xml:space="preserve">LOTE 2 </t>
  </si>
  <si>
    <t>Línea 5/Tipo 2000</t>
  </si>
  <si>
    <t>Línea 5/Tipo 3000</t>
  </si>
  <si>
    <t>Línea 7 /TIPO 9000 o nuevo material de GA</t>
  </si>
  <si>
    <t>DRESINAS</t>
  </si>
  <si>
    <t xml:space="preserve">Coste anual </t>
  </si>
  <si>
    <t>Limpieza de Dresinas exterior e interior</t>
  </si>
  <si>
    <t>DV</t>
  </si>
  <si>
    <t>SUBTOTALES (1)</t>
  </si>
  <si>
    <t>LIMPIEZAS TÉCNICAS</t>
  </si>
  <si>
    <t>Limpieza RCL corinas</t>
  </si>
  <si>
    <t>Limpieza de suelos y techos</t>
  </si>
  <si>
    <t>Limpieza Dresinas y elementos bajo bastidor</t>
  </si>
  <si>
    <t>DVBG</t>
  </si>
  <si>
    <r>
      <t>Eliminación de murales ( m</t>
    </r>
    <r>
      <rPr>
        <vertAlign val="superscript"/>
        <sz val="10"/>
        <rFont val="Arial"/>
        <family val="2"/>
      </rPr>
      <t>2</t>
    </r>
    <r>
      <rPr>
        <sz val="10"/>
        <rFont val="Arial"/>
        <family val="2"/>
      </rPr>
      <t>)</t>
    </r>
  </si>
  <si>
    <t>SUBTOTALES (2)</t>
  </si>
  <si>
    <r>
      <t>Pulido totalmente transparente de cristales (*m</t>
    </r>
    <r>
      <rPr>
        <vertAlign val="superscript"/>
        <sz val="10"/>
        <rFont val="Arial"/>
        <family val="2"/>
      </rPr>
      <t>2</t>
    </r>
    <r>
      <rPr>
        <sz val="10"/>
        <rFont val="Arial"/>
        <family val="2"/>
      </rPr>
      <t>)</t>
    </r>
  </si>
  <si>
    <t>Retirada de bidones de trapos absorbentes y mantas filtrantes (dia)</t>
  </si>
  <si>
    <t>SUBTOTALES (3)</t>
  </si>
  <si>
    <t>TOTALES LÍNEA</t>
  </si>
  <si>
    <t>PRECIO  AÑO ESTÁNDAR* (SIN IVA)</t>
  </si>
  <si>
    <t>*Precio una vez se haya recepcionado todo el nuevo mateiral móvil previsto</t>
  </si>
  <si>
    <t>Eliminación de murales ( m2)</t>
  </si>
  <si>
    <t>Sustitución de film en ventanas interior recinto de viajeros (*m2)</t>
  </si>
  <si>
    <t xml:space="preserve">Notas: </t>
  </si>
  <si>
    <t>Se deben rellenar todas las celdas sombreadas en verde de las columnas "Precio unitario ofertado".</t>
  </si>
  <si>
    <t>Se tendrán en cuenta las Notas del apartado 27 del Pliego de Condiciones Particulares.</t>
  </si>
  <si>
    <t>Precio unitario máximo</t>
  </si>
  <si>
    <t>Precio unitario ofertado</t>
  </si>
  <si>
    <t>1.4</t>
  </si>
  <si>
    <t>1.4.1</t>
  </si>
  <si>
    <t>1.4.2</t>
  </si>
  <si>
    <t>1.4.3</t>
  </si>
  <si>
    <t>1.4.4</t>
  </si>
  <si>
    <t>1.5</t>
  </si>
  <si>
    <t>1.5.1</t>
  </si>
  <si>
    <t>1.5.2</t>
  </si>
  <si>
    <t>1.5.3</t>
  </si>
  <si>
    <t>1.5.4</t>
  </si>
  <si>
    <t>1.1.5</t>
  </si>
  <si>
    <t>Nº de jornadas</t>
  </si>
  <si>
    <t>1.2.5</t>
  </si>
  <si>
    <t>1.4.5</t>
  </si>
  <si>
    <t>Los precios unitarios indicados deben incluir Gastos Generales y Beneficio Industrial.</t>
  </si>
  <si>
    <t>Se debe rellenar la celda sombreada en verde referente al "PRECIO POR JORNADA EXTRAORDINARIA PERSONAL, MATERIAL Y GESTIÓN".</t>
  </si>
  <si>
    <t>PRECIO POR JORNADA EXTRAORDINARIA PERSONAL, MATERIAL Y GESTIÓN**</t>
  </si>
  <si>
    <t>JORNADAS EXTRAORDINARIAS</t>
  </si>
  <si>
    <t>Jornada extraordinaria personal, material y gestión</t>
  </si>
  <si>
    <t>CECOS</t>
  </si>
  <si>
    <t>TOTAL</t>
  </si>
  <si>
    <t>Notas</t>
  </si>
  <si>
    <t xml:space="preserve"> Se debe rellenar la celda sombreada en verde.</t>
  </si>
  <si>
    <t>Los precios unitarios deben incluir Gastos Generales y Beneficio Industrial. En las celdas de “Beneficio industrial ofertado” y “Gastos Generales ofertados” debe indicarse el porcentaje (únicamente a modo informativo). En caso de que las celdas mencionadas anteriormente no estén debidamente cumplimentadas, es decir, se encuentren en blanco, se considerará que el % ofertado para dichas celdas es 0.</t>
  </si>
  <si>
    <t>Los precios unitarios ofertados (Precio Un Ofertante) no podrán exceder los precios unitarios máximos (Precio Un Licitación).</t>
  </si>
  <si>
    <t>Las cantidadades indicadas son estimaciones de referencia por lo que la facturación se realizará por operación realmente ejecutada utilizando los precios unitararios ofertados. De esta manera las cantidades de referencia podrán variar en todo momento para ajustarse a las realmente ejecutadas sin sobrepasar a nivel global el presupuesto de adjudicacion del contrato</t>
  </si>
  <si>
    <t>*Precio para limpiezas de nuevo material móvil asignado a la línea una vez se haya recepcionado</t>
  </si>
  <si>
    <t>** El precio por jornada extraordinaria se podrá utilizar para cualquier operación extraordinaria y en general para cualquier operación no explicitamente descrita en las diferentes tipologías de limpieza.  Cada jornada equivaldrá a 8 horas de trabajo pudiendo facturase jornadas parciales. Este tipo de trabajo se facturán  con cargo al importe global de adjudicación.</t>
  </si>
  <si>
    <t>Los precios unitarios en donde el número de operaciones es cero no es necesario incluirlos</t>
  </si>
  <si>
    <t>1.5.5</t>
  </si>
  <si>
    <t>Control de plagas: Visita de inspección para comprobación de posibles focos de insectos o roedores</t>
  </si>
  <si>
    <t>CAMPAÑAS Y CONTROL DE PLAGAS</t>
  </si>
  <si>
    <t xml:space="preserve">DDD: Actuación Correctiva 24 horas.La resolución de los avisos se considera incluida en la oferta económica, dentro del Plan de Mantenimiento, sin tener un abono independiente. </t>
  </si>
  <si>
    <t xml:space="preserve">DDD: Actuación Correctiva 2 horas. La resolución de los trabajos urgentes se considera incluida en la oferta económica, dentro del Plan de Mantenimiento, sin tener un abono independiente.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</si>
</sst>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000"/>
    <numFmt numFmtId="165" formatCode="#,##0.00\ &quot;€&quot;"/>
    <numFmt numFmtId="166" formatCode="0.0000"/>
    <numFmt numFmtId="167" formatCode="_-* #,##0.00\ _€_-;\-* #,##0.00\ _€_-;_-* &quot;-&quot;??\ _€_-;_-@_-"/>
    <numFmt numFmtId="168" formatCode="0.000%"/>
  </numFmts>
  <fonts count="29"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sz val="10"/>
      <name val="Arial"/>
      <family val="2"/>
    </font>
    <font>
      <sz val="10"/>
      <name val="Arial"/>
      <family val="2"/>
    </font>
    <font>
      <b/>
      <sz val="10"/>
      <name val="Arial"/>
      <family val="2"/>
    </font>
    <font>
      <b/>
      <sz val="8"/>
      <name val="Arial"/>
      <family val="2"/>
    </font>
    <font>
      <b/>
      <sz val="8"/>
      <color rgb="FFFF0000"/>
      <name val="Arial"/>
      <family val="2"/>
    </font>
    <font>
      <b/>
      <sz val="10"/>
      <color rgb="FF00B0F0"/>
      <name val="Arial"/>
      <family val="2"/>
    </font>
    <font>
      <sz val="10"/>
      <color rgb="FF00B0F0"/>
      <name val="Arial"/>
      <family val="2"/>
    </font>
    <font>
      <vertAlign val="superscript"/>
      <sz val="10"/>
      <name val="Arial"/>
      <family val="2"/>
    </font>
    <font>
      <sz val="10"/>
      <color rgb="FFFF0000"/>
      <name val="Arial"/>
      <family val="2"/>
    </font>
    <font>
      <b/>
      <sz val="12"/>
      <color rgb="FF00B050"/>
      <name val="Arial"/>
      <family val="2"/>
    </font>
    <font>
      <b/>
      <sz val="12"/>
      <name val="Arial"/>
      <family val="2"/>
    </font>
    <font>
      <b/>
      <i/>
      <sz val="11"/>
      <color rgb="FF0070C0"/>
      <name val="Calibri"/>
      <family val="2"/>
      <scheme val="minor"/>
    </font>
    <font>
      <b/>
      <i/>
      <sz val="11"/>
      <color theme="5" tint="-0.499984740745262"/>
      <name val="Calibri"/>
      <family val="2"/>
      <scheme val="minor"/>
    </font>
    <font>
      <sz val="11"/>
      <color rgb="FF000000"/>
      <name val="Calibri"/>
      <family val="2"/>
    </font>
    <font>
      <sz val="10"/>
      <color theme="3" tint="0.39997558519241921"/>
      <name val="Arial"/>
      <family val="2"/>
    </font>
    <font>
      <sz val="12"/>
      <color rgb="FF00B050"/>
      <name val="Arial"/>
      <family val="2"/>
    </font>
    <font>
      <b/>
      <sz val="18"/>
      <color rgb="FFFF0000"/>
      <name val="Arial"/>
      <family val="2"/>
    </font>
    <font>
      <b/>
      <sz val="18"/>
      <color rgb="FF00B050"/>
      <name val="Arial"/>
      <family val="2"/>
    </font>
    <font>
      <b/>
      <i/>
      <sz val="12"/>
      <name val="Arial"/>
      <family val="2"/>
    </font>
    <font>
      <b/>
      <sz val="11"/>
      <color theme="1"/>
      <name val="Calibri"/>
      <family val="2"/>
      <scheme val="minor"/>
    </font>
    <font>
      <sz val="9"/>
      <color rgb="FF000000"/>
      <name val="Calibri"/>
      <family val="2"/>
    </font>
    <font>
      <b/>
      <sz val="11"/>
      <color rgb="FFFF0000"/>
      <name val="Calibri"/>
      <family val="2"/>
      <scheme val="minor"/>
    </font>
    <font>
      <sz val="11"/>
      <color theme="1"/>
      <name val="Calibri"/>
      <family val="2"/>
    </font>
    <font>
      <i/>
      <sz val="11"/>
      <name val="Calibri"/>
      <family val="2"/>
      <scheme val="minor"/>
    </font>
  </fonts>
  <fills count="22">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indexed="9"/>
        <bgColor indexed="64"/>
      </patternFill>
    </fill>
    <fill>
      <patternFill patternType="solid">
        <fgColor theme="0" tint="-0.34998626667073579"/>
        <bgColor indexed="64"/>
      </patternFill>
    </fill>
    <fill>
      <patternFill patternType="solid">
        <fgColor theme="0"/>
        <bgColor indexed="64"/>
      </patternFill>
    </fill>
    <fill>
      <patternFill patternType="solid">
        <fgColor theme="3" tint="0.39997558519241921"/>
        <bgColor indexed="64"/>
      </patternFill>
    </fill>
    <fill>
      <patternFill patternType="solid">
        <fgColor rgb="FF92D050"/>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rgb="FFB4C6E7"/>
        <bgColor indexed="64"/>
      </patternFill>
    </fill>
    <fill>
      <patternFill patternType="solid">
        <fgColor indexed="22"/>
        <bgColor indexed="64"/>
      </patternFill>
    </fill>
    <fill>
      <patternFill patternType="solid">
        <fgColor theme="9" tint="0.59999389629810485"/>
        <bgColor indexed="64"/>
      </patternFill>
    </fill>
    <fill>
      <patternFill patternType="solid">
        <fgColor rgb="FF00B0F0"/>
        <bgColor indexed="64"/>
      </patternFill>
    </fill>
  </fills>
  <borders count="74">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thin">
        <color theme="0" tint="-0.34998626667073579"/>
      </left>
      <right style="thin">
        <color theme="0" tint="-0.34998626667073579"/>
      </right>
      <top style="medium">
        <color theme="0" tint="-0.34998626667073579"/>
      </top>
      <bottom style="medium">
        <color theme="0" tint="-0.34998626667073579"/>
      </bottom>
      <diagonal/>
    </border>
    <border>
      <left style="thin">
        <color theme="0" tint="-0.34998626667073579"/>
      </left>
      <right style="medium">
        <color theme="0" tint="-0.34998626667073579"/>
      </right>
      <top style="medium">
        <color theme="0" tint="-0.34998626667073579"/>
      </top>
      <bottom style="medium">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medium">
        <color indexed="64"/>
      </left>
      <right/>
      <top/>
      <bottom style="medium">
        <color indexed="64"/>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6">
    <xf numFmtId="0" fontId="0" fillId="0" borderId="0"/>
    <xf numFmtId="0" fontId="5" fillId="0" borderId="0"/>
    <xf numFmtId="43" fontId="6" fillId="0" borderId="0" applyFont="0" applyFill="0" applyBorder="0" applyAlignment="0" applyProtection="0"/>
    <xf numFmtId="0" fontId="6" fillId="0" borderId="0"/>
    <xf numFmtId="0" fontId="6" fillId="0" borderId="0"/>
    <xf numFmtId="167" fontId="6" fillId="0" borderId="0" applyFont="0" applyFill="0" applyBorder="0" applyAlignment="0" applyProtection="0"/>
  </cellStyleXfs>
  <cellXfs count="500">
    <xf numFmtId="0" fontId="0" fillId="0" borderId="0" xfId="0"/>
    <xf numFmtId="0" fontId="5" fillId="6" borderId="0" xfId="1" applyFill="1"/>
    <xf numFmtId="0" fontId="5" fillId="6" borderId="0" xfId="1" applyFill="1" applyAlignment="1">
      <alignment horizontal="center" vertical="center"/>
    </xf>
    <xf numFmtId="0" fontId="6" fillId="8" borderId="0" xfId="1" applyFont="1" applyFill="1" applyAlignment="1">
      <alignment horizontal="center" vertical="center" wrapText="1"/>
    </xf>
    <xf numFmtId="0" fontId="6" fillId="6" borderId="0" xfId="1" applyFont="1" applyFill="1"/>
    <xf numFmtId="4" fontId="5" fillId="5" borderId="0" xfId="1" applyNumberFormat="1" applyFill="1" applyAlignment="1">
      <alignment horizontal="center" vertical="center"/>
    </xf>
    <xf numFmtId="4" fontId="7" fillId="9" borderId="0" xfId="1" applyNumberFormat="1" applyFont="1" applyFill="1" applyAlignment="1">
      <alignment horizontal="center" vertical="center"/>
    </xf>
    <xf numFmtId="0" fontId="5" fillId="0" borderId="0" xfId="1" applyAlignment="1">
      <alignment vertical="center"/>
    </xf>
    <xf numFmtId="0" fontId="6" fillId="6" borderId="0" xfId="1" applyFont="1" applyFill="1" applyAlignment="1">
      <alignment horizontal="center" vertical="center"/>
    </xf>
    <xf numFmtId="0" fontId="6" fillId="7" borderId="0" xfId="1" applyFont="1" applyFill="1" applyAlignment="1">
      <alignment horizontal="center" vertical="center" wrapText="1"/>
    </xf>
    <xf numFmtId="166" fontId="5" fillId="6" borderId="0" xfId="1" applyNumberFormat="1" applyFill="1" applyAlignment="1">
      <alignment horizontal="center" vertical="center"/>
    </xf>
    <xf numFmtId="0" fontId="18" fillId="18" borderId="50" xfId="1" applyFont="1" applyFill="1" applyBorder="1" applyAlignment="1">
      <alignment horizontal="center" vertical="center"/>
    </xf>
    <xf numFmtId="0" fontId="18" fillId="18" borderId="51" xfId="1" applyFont="1" applyFill="1" applyBorder="1" applyAlignment="1">
      <alignment horizontal="center" vertical="center"/>
    </xf>
    <xf numFmtId="2" fontId="0" fillId="0" borderId="15" xfId="5" applyNumberFormat="1" applyFont="1" applyFill="1" applyBorder="1" applyAlignment="1" applyProtection="1">
      <alignment horizontal="center" vertical="top"/>
    </xf>
    <xf numFmtId="2" fontId="0" fillId="0" borderId="33" xfId="5" applyNumberFormat="1" applyFont="1" applyFill="1" applyBorder="1" applyAlignment="1" applyProtection="1">
      <alignment horizontal="center" vertical="top"/>
    </xf>
    <xf numFmtId="2" fontId="0" fillId="0" borderId="46" xfId="5" applyNumberFormat="1" applyFont="1" applyFill="1" applyBorder="1" applyAlignment="1" applyProtection="1">
      <alignment horizontal="center" vertical="top"/>
    </xf>
    <xf numFmtId="2" fontId="0" fillId="0" borderId="30" xfId="5" applyNumberFormat="1" applyFont="1" applyFill="1" applyBorder="1" applyAlignment="1" applyProtection="1">
      <alignment horizontal="center" vertical="top"/>
    </xf>
    <xf numFmtId="2" fontId="0" fillId="0" borderId="34" xfId="5" applyNumberFormat="1" applyFont="1" applyFill="1" applyBorder="1" applyAlignment="1" applyProtection="1">
      <alignment horizontal="center" vertical="top"/>
    </xf>
    <xf numFmtId="2" fontId="6" fillId="11" borderId="46" xfId="5" applyNumberFormat="1" applyFont="1" applyFill="1" applyBorder="1" applyAlignment="1" applyProtection="1">
      <alignment horizontal="center" vertical="top"/>
    </xf>
    <xf numFmtId="2" fontId="11" fillId="0" borderId="12" xfId="5" applyNumberFormat="1" applyFont="1" applyFill="1" applyBorder="1" applyAlignment="1" applyProtection="1">
      <alignment horizontal="center" vertical="top"/>
    </xf>
    <xf numFmtId="2" fontId="6" fillId="0" borderId="30" xfId="5" applyNumberFormat="1" applyFont="1" applyFill="1" applyBorder="1" applyAlignment="1" applyProtection="1">
      <alignment horizontal="center" vertical="top"/>
    </xf>
    <xf numFmtId="2" fontId="6" fillId="11" borderId="33" xfId="5" applyNumberFormat="1" applyFont="1" applyFill="1" applyBorder="1" applyAlignment="1" applyProtection="1">
      <alignment horizontal="center" vertical="top"/>
    </xf>
    <xf numFmtId="2" fontId="6" fillId="0" borderId="34" xfId="5" applyNumberFormat="1" applyFont="1" applyFill="1" applyBorder="1" applyAlignment="1" applyProtection="1">
      <alignment horizontal="center" vertical="top"/>
    </xf>
    <xf numFmtId="2" fontId="6" fillId="0" borderId="33" xfId="5" applyNumberFormat="1" applyFont="1" applyFill="1" applyBorder="1" applyAlignment="1" applyProtection="1">
      <alignment horizontal="center" vertical="top"/>
    </xf>
    <xf numFmtId="2" fontId="6" fillId="11" borderId="34" xfId="5" applyNumberFormat="1" applyFont="1" applyFill="1" applyBorder="1" applyAlignment="1" applyProtection="1">
      <alignment horizontal="center" vertical="top"/>
    </xf>
    <xf numFmtId="2" fontId="6" fillId="0" borderId="36" xfId="5" applyNumberFormat="1" applyFont="1" applyFill="1" applyBorder="1" applyAlignment="1" applyProtection="1">
      <alignment horizontal="center" vertical="center"/>
    </xf>
    <xf numFmtId="165" fontId="11" fillId="0" borderId="4" xfId="2" applyNumberFormat="1" applyFont="1" applyFill="1" applyBorder="1" applyAlignment="1" applyProtection="1">
      <alignment vertical="center"/>
    </xf>
    <xf numFmtId="1" fontId="11" fillId="0" borderId="48" xfId="2" applyNumberFormat="1" applyFont="1" applyFill="1" applyBorder="1" applyAlignment="1" applyProtection="1">
      <alignment horizontal="center" vertical="center"/>
    </xf>
    <xf numFmtId="2" fontId="11" fillId="0" borderId="47" xfId="5" applyNumberFormat="1" applyFont="1" applyFill="1" applyBorder="1" applyAlignment="1" applyProtection="1">
      <alignment horizontal="center" vertical="top"/>
    </xf>
    <xf numFmtId="165" fontId="11" fillId="0" borderId="63" xfId="2" applyNumberFormat="1" applyFont="1" applyFill="1" applyBorder="1" applyAlignment="1" applyProtection="1">
      <alignment vertical="center"/>
    </xf>
    <xf numFmtId="2" fontId="6" fillId="11" borderId="19" xfId="5" applyNumberFormat="1" applyFont="1" applyFill="1" applyBorder="1" applyAlignment="1" applyProtection="1">
      <alignment horizontal="center" vertical="top"/>
    </xf>
    <xf numFmtId="2" fontId="6" fillId="0" borderId="19" xfId="5" applyNumberFormat="1" applyFont="1" applyFill="1" applyBorder="1" applyAlignment="1" applyProtection="1">
      <alignment horizontal="center" vertical="top"/>
    </xf>
    <xf numFmtId="2" fontId="6" fillId="0" borderId="0" xfId="5" applyNumberFormat="1" applyFont="1" applyFill="1" applyBorder="1" applyAlignment="1" applyProtection="1">
      <alignment horizontal="center" vertical="top"/>
    </xf>
    <xf numFmtId="1" fontId="11" fillId="0" borderId="1" xfId="2" applyNumberFormat="1" applyFont="1" applyFill="1" applyBorder="1" applyAlignment="1" applyProtection="1">
      <alignment horizontal="center" vertical="center"/>
    </xf>
    <xf numFmtId="1" fontId="11" fillId="0" borderId="9" xfId="2" applyNumberFormat="1" applyFont="1" applyFill="1" applyBorder="1" applyAlignment="1" applyProtection="1">
      <alignment horizontal="center" vertical="center"/>
    </xf>
    <xf numFmtId="165" fontId="11" fillId="0" borderId="9" xfId="2" applyNumberFormat="1" applyFont="1" applyFill="1" applyBorder="1" applyAlignment="1" applyProtection="1">
      <alignment vertical="center"/>
    </xf>
    <xf numFmtId="165" fontId="6" fillId="0" borderId="72" xfId="2" applyNumberFormat="1" applyFont="1" applyFill="1" applyBorder="1" applyAlignment="1" applyProtection="1">
      <alignment vertical="center"/>
    </xf>
    <xf numFmtId="49" fontId="3" fillId="0" borderId="0" xfId="0" applyNumberFormat="1" applyFont="1"/>
    <xf numFmtId="4" fontId="5" fillId="6" borderId="0" xfId="1" applyNumberFormat="1" applyFill="1" applyAlignment="1">
      <alignment horizontal="center" vertical="center"/>
    </xf>
    <xf numFmtId="4" fontId="5" fillId="6" borderId="0" xfId="1" applyNumberFormat="1" applyFill="1"/>
    <xf numFmtId="168" fontId="18" fillId="0" borderId="52" xfId="1" applyNumberFormat="1" applyFont="1" applyBorder="1" applyAlignment="1">
      <alignment horizontal="center" vertical="center"/>
    </xf>
    <xf numFmtId="168" fontId="18" fillId="0" borderId="53" xfId="1" applyNumberFormat="1" applyFont="1" applyBorder="1" applyAlignment="1">
      <alignment horizontal="center" vertical="center"/>
    </xf>
    <xf numFmtId="0" fontId="5" fillId="6" borderId="33" xfId="1" applyFill="1" applyBorder="1"/>
    <xf numFmtId="4" fontId="5" fillId="6" borderId="33" xfId="1" applyNumberFormat="1" applyFill="1" applyBorder="1" applyAlignment="1">
      <alignment horizontal="center" vertical="center"/>
    </xf>
    <xf numFmtId="4" fontId="5" fillId="6" borderId="33" xfId="1" applyNumberFormat="1" applyFill="1" applyBorder="1"/>
    <xf numFmtId="0" fontId="24" fillId="0" borderId="0" xfId="0" applyFont="1"/>
    <xf numFmtId="0" fontId="0" fillId="0" borderId="0" xfId="0" applyAlignment="1">
      <alignment horizontal="left" wrapText="1"/>
    </xf>
    <xf numFmtId="0" fontId="3" fillId="0" borderId="0" xfId="0" applyFont="1" applyAlignment="1">
      <alignment vertical="center" wrapText="1"/>
    </xf>
    <xf numFmtId="0" fontId="5" fillId="0" borderId="0" xfId="1" applyAlignment="1">
      <alignment vertical="center" wrapText="1"/>
    </xf>
    <xf numFmtId="0" fontId="0" fillId="0" borderId="0" xfId="0" applyAlignment="1">
      <alignment vertical="center" wrapText="1"/>
    </xf>
    <xf numFmtId="0" fontId="7" fillId="6" borderId="0" xfId="1" applyFont="1" applyFill="1" applyAlignment="1">
      <alignment horizontal="center"/>
    </xf>
    <xf numFmtId="0" fontId="2" fillId="2" borderId="0" xfId="0" applyFont="1" applyFill="1" applyAlignment="1">
      <alignment horizontal="left" vertical="top"/>
    </xf>
    <xf numFmtId="4" fontId="0" fillId="0" borderId="0" xfId="0" applyNumberFormat="1"/>
    <xf numFmtId="164" fontId="0" fillId="0" borderId="0" xfId="0" applyNumberFormat="1"/>
    <xf numFmtId="49" fontId="4" fillId="4" borderId="8" xfId="0" applyNumberFormat="1" applyFont="1" applyFill="1" applyBorder="1"/>
    <xf numFmtId="3" fontId="3" fillId="0" borderId="3" xfId="0" applyNumberFormat="1" applyFont="1" applyBorder="1"/>
    <xf numFmtId="4" fontId="3" fillId="5" borderId="3" xfId="0" applyNumberFormat="1" applyFont="1" applyFill="1" applyBorder="1"/>
    <xf numFmtId="49" fontId="4" fillId="4" borderId="1" xfId="0" applyNumberFormat="1" applyFont="1" applyFill="1" applyBorder="1"/>
    <xf numFmtId="10" fontId="3" fillId="0" borderId="4" xfId="0" quotePrefix="1" applyNumberFormat="1" applyFont="1" applyBorder="1"/>
    <xf numFmtId="49" fontId="3" fillId="4" borderId="2" xfId="0" applyNumberFormat="1" applyFont="1" applyFill="1" applyBorder="1"/>
    <xf numFmtId="4" fontId="3" fillId="5" borderId="2" xfId="0" applyNumberFormat="1" applyFont="1" applyFill="1" applyBorder="1"/>
    <xf numFmtId="4" fontId="4" fillId="4" borderId="1" xfId="0" applyNumberFormat="1" applyFont="1" applyFill="1" applyBorder="1"/>
    <xf numFmtId="49" fontId="4" fillId="4" borderId="5" xfId="0" applyNumberFormat="1" applyFont="1" applyFill="1" applyBorder="1"/>
    <xf numFmtId="9" fontId="3" fillId="0" borderId="4" xfId="0" quotePrefix="1" applyNumberFormat="1" applyFont="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xf numFmtId="49" fontId="0" fillId="0" borderId="0" xfId="0" applyNumberFormat="1"/>
    <xf numFmtId="0" fontId="2" fillId="2" borderId="0" xfId="0" applyFont="1" applyFill="1"/>
    <xf numFmtId="4" fontId="2" fillId="2" borderId="0" xfId="0" applyNumberFormat="1" applyFont="1" applyFill="1"/>
    <xf numFmtId="49" fontId="17" fillId="0" borderId="0" xfId="0" applyNumberFormat="1" applyFont="1"/>
    <xf numFmtId="4" fontId="3" fillId="0" borderId="0" xfId="0" applyNumberFormat="1" applyFont="1"/>
    <xf numFmtId="4" fontId="0" fillId="4" borderId="0" xfId="0" applyNumberFormat="1" applyFill="1"/>
    <xf numFmtId="4" fontId="3" fillId="4" borderId="0" xfId="0" applyNumberFormat="1" applyFont="1" applyFill="1"/>
    <xf numFmtId="49" fontId="16" fillId="0" borderId="0" xfId="0" applyNumberFormat="1" applyFont="1"/>
    <xf numFmtId="49" fontId="3" fillId="5" borderId="0" xfId="0" applyNumberFormat="1" applyFont="1" applyFill="1"/>
    <xf numFmtId="49" fontId="4" fillId="5" borderId="0" xfId="0" applyNumberFormat="1" applyFont="1" applyFill="1"/>
    <xf numFmtId="1" fontId="3" fillId="0" borderId="0" xfId="0" applyNumberFormat="1" applyFont="1"/>
    <xf numFmtId="0" fontId="26" fillId="0" borderId="0" xfId="0" applyFont="1"/>
    <xf numFmtId="49" fontId="3" fillId="3" borderId="0" xfId="0" applyNumberFormat="1" applyFont="1" applyFill="1"/>
    <xf numFmtId="49" fontId="4" fillId="3" borderId="0" xfId="0" applyNumberFormat="1" applyFont="1" applyFill="1"/>
    <xf numFmtId="49" fontId="3" fillId="3" borderId="0" xfId="0" applyNumberFormat="1" applyFont="1" applyFill="1" applyAlignment="1">
      <alignment wrapText="1"/>
    </xf>
    <xf numFmtId="49" fontId="3" fillId="16" borderId="0" xfId="0" applyNumberFormat="1" applyFont="1" applyFill="1"/>
    <xf numFmtId="49" fontId="4" fillId="16" borderId="0" xfId="0" applyNumberFormat="1" applyFont="1" applyFill="1"/>
    <xf numFmtId="0" fontId="3" fillId="16" borderId="0" xfId="0" applyFont="1" applyFill="1"/>
    <xf numFmtId="0" fontId="0" fillId="16" borderId="0" xfId="0" applyFill="1" applyAlignment="1">
      <alignment wrapText="1"/>
    </xf>
    <xf numFmtId="0" fontId="0" fillId="16" borderId="0" xfId="0" applyFill="1"/>
    <xf numFmtId="3" fontId="0" fillId="0" borderId="0" xfId="0" applyNumberFormat="1"/>
    <xf numFmtId="3" fontId="0" fillId="4" borderId="0" xfId="0" applyNumberFormat="1" applyFill="1"/>
    <xf numFmtId="0" fontId="0" fillId="17" borderId="0" xfId="0" applyFill="1"/>
    <xf numFmtId="0" fontId="4" fillId="17" borderId="0" xfId="0" applyFont="1" applyFill="1"/>
    <xf numFmtId="0" fontId="3" fillId="17" borderId="0" xfId="0" applyFont="1" applyFill="1"/>
    <xf numFmtId="0" fontId="3" fillId="17" borderId="0" xfId="0" applyFont="1" applyFill="1" applyAlignment="1">
      <alignment wrapText="1"/>
    </xf>
    <xf numFmtId="0" fontId="3" fillId="21" borderId="0" xfId="0" applyFont="1" applyFill="1"/>
    <xf numFmtId="0" fontId="4" fillId="21" borderId="0" xfId="0" applyFont="1" applyFill="1" applyAlignment="1">
      <alignment wrapText="1"/>
    </xf>
    <xf numFmtId="0" fontId="3" fillId="21" borderId="0" xfId="0" applyFont="1" applyFill="1" applyAlignment="1">
      <alignment horizontal="left"/>
    </xf>
    <xf numFmtId="0" fontId="3" fillId="21" borderId="0" xfId="0" applyFont="1" applyFill="1" applyAlignment="1">
      <alignment wrapText="1"/>
    </xf>
    <xf numFmtId="4" fontId="7" fillId="14" borderId="7" xfId="1" applyNumberFormat="1" applyFont="1" applyFill="1" applyBorder="1" applyAlignment="1">
      <alignment vertical="center"/>
    </xf>
    <xf numFmtId="0" fontId="7" fillId="0" borderId="25" xfId="1" applyFont="1" applyBorder="1" applyAlignment="1">
      <alignment vertical="center"/>
    </xf>
    <xf numFmtId="0" fontId="7" fillId="0" borderId="0" xfId="1" applyFont="1" applyAlignment="1">
      <alignment vertical="center"/>
    </xf>
    <xf numFmtId="0" fontId="7" fillId="14" borderId="10" xfId="1" applyFont="1" applyFill="1" applyBorder="1" applyAlignment="1">
      <alignment horizontal="center" vertical="center" wrapText="1"/>
    </xf>
    <xf numFmtId="0" fontId="7" fillId="14" borderId="3" xfId="1" applyFont="1" applyFill="1" applyBorder="1" applyAlignment="1">
      <alignment horizontal="center" vertical="center"/>
    </xf>
    <xf numFmtId="0" fontId="7" fillId="14" borderId="8" xfId="1" applyFont="1" applyFill="1" applyBorder="1" applyAlignment="1">
      <alignment horizontal="center" vertical="center"/>
    </xf>
    <xf numFmtId="3" fontId="8" fillId="10" borderId="8" xfId="1" applyNumberFormat="1" applyFont="1" applyFill="1" applyBorder="1" applyAlignment="1">
      <alignment horizontal="center" vertical="center" wrapText="1"/>
    </xf>
    <xf numFmtId="3" fontId="8" fillId="10" borderId="71" xfId="1" applyNumberFormat="1" applyFont="1" applyFill="1" applyBorder="1" applyAlignment="1">
      <alignment horizontal="center" vertical="center" wrapText="1"/>
    </xf>
    <xf numFmtId="4" fontId="9" fillId="10" borderId="6" xfId="1" applyNumberFormat="1" applyFont="1" applyFill="1" applyBorder="1" applyAlignment="1">
      <alignment horizontal="center" vertical="center" wrapText="1"/>
    </xf>
    <xf numFmtId="4" fontId="8" fillId="10" borderId="3" xfId="1" applyNumberFormat="1" applyFont="1" applyFill="1" applyBorder="1" applyAlignment="1">
      <alignment horizontal="center" vertical="center"/>
    </xf>
    <xf numFmtId="0" fontId="8" fillId="10" borderId="8" xfId="1" applyFont="1" applyFill="1" applyBorder="1" applyAlignment="1">
      <alignment horizontal="center" vertical="center" wrapText="1"/>
    </xf>
    <xf numFmtId="1" fontId="8" fillId="10" borderId="8" xfId="1" applyNumberFormat="1" applyFont="1" applyFill="1" applyBorder="1" applyAlignment="1">
      <alignment horizontal="center" vertical="center" wrapText="1"/>
    </xf>
    <xf numFmtId="4" fontId="8" fillId="10" borderId="8" xfId="1" applyNumberFormat="1" applyFont="1" applyFill="1" applyBorder="1" applyAlignment="1">
      <alignment horizontal="center" vertical="center"/>
    </xf>
    <xf numFmtId="0" fontId="8" fillId="10" borderId="2" xfId="1" applyFont="1" applyFill="1" applyBorder="1" applyAlignment="1">
      <alignment horizontal="center" vertical="center" wrapText="1"/>
    </xf>
    <xf numFmtId="4" fontId="8" fillId="10" borderId="1" xfId="1" applyNumberFormat="1" applyFont="1" applyFill="1" applyBorder="1" applyAlignment="1">
      <alignment horizontal="center" vertical="center"/>
    </xf>
    <xf numFmtId="0" fontId="5" fillId="0" borderId="25" xfId="1" applyBorder="1" applyAlignment="1">
      <alignment vertical="center"/>
    </xf>
    <xf numFmtId="0" fontId="6" fillId="0" borderId="38" xfId="1" applyFont="1" applyBorder="1" applyAlignment="1">
      <alignment vertical="center"/>
    </xf>
    <xf numFmtId="0" fontId="6" fillId="0" borderId="17" xfId="1" applyFont="1" applyBorder="1" applyAlignment="1">
      <alignment horizontal="center" vertical="center"/>
    </xf>
    <xf numFmtId="3" fontId="6" fillId="0" borderId="11" xfId="2" applyNumberFormat="1" applyFont="1" applyFill="1" applyBorder="1" applyAlignment="1" applyProtection="1">
      <alignment horizontal="center" vertical="center"/>
    </xf>
    <xf numFmtId="4" fontId="6" fillId="0" borderId="55" xfId="2" applyNumberFormat="1" applyFont="1" applyFill="1" applyBorder="1" applyAlignment="1" applyProtection="1">
      <alignment horizontal="center" vertical="center"/>
    </xf>
    <xf numFmtId="4" fontId="6" fillId="20" borderId="15" xfId="2" applyNumberFormat="1" applyFont="1" applyFill="1" applyBorder="1" applyAlignment="1" applyProtection="1">
      <alignment horizontal="center" vertical="center"/>
    </xf>
    <xf numFmtId="165" fontId="6" fillId="0" borderId="17" xfId="2" applyNumberFormat="1" applyFont="1" applyFill="1" applyBorder="1" applyAlignment="1" applyProtection="1">
      <alignment vertical="center"/>
    </xf>
    <xf numFmtId="3" fontId="5" fillId="0" borderId="56" xfId="1" applyNumberFormat="1" applyBorder="1" applyAlignment="1">
      <alignment horizontal="center" vertical="center"/>
    </xf>
    <xf numFmtId="4" fontId="5" fillId="0" borderId="15" xfId="1" applyNumberFormat="1" applyBorder="1" applyAlignment="1">
      <alignment horizontal="center" vertical="center"/>
    </xf>
    <xf numFmtId="165" fontId="5" fillId="0" borderId="17" xfId="1" applyNumberFormat="1" applyBorder="1" applyAlignment="1">
      <alignment vertical="center"/>
    </xf>
    <xf numFmtId="1" fontId="5" fillId="0" borderId="56" xfId="1" applyNumberFormat="1" applyBorder="1" applyAlignment="1">
      <alignment horizontal="center" vertical="center"/>
    </xf>
    <xf numFmtId="3" fontId="5" fillId="0" borderId="14" xfId="1" applyNumberFormat="1" applyBorder="1" applyAlignment="1">
      <alignment horizontal="center" vertical="center"/>
    </xf>
    <xf numFmtId="4" fontId="5" fillId="0" borderId="14" xfId="1" applyNumberFormat="1" applyBorder="1" applyAlignment="1">
      <alignment horizontal="center" vertical="center"/>
    </xf>
    <xf numFmtId="3" fontId="5" fillId="19" borderId="14" xfId="1" applyNumberFormat="1" applyFill="1" applyBorder="1" applyAlignment="1">
      <alignment horizontal="center" vertical="center"/>
    </xf>
    <xf numFmtId="3" fontId="5" fillId="19" borderId="57" xfId="1" applyNumberFormat="1" applyFill="1" applyBorder="1" applyAlignment="1">
      <alignment horizontal="center" vertical="center"/>
    </xf>
    <xf numFmtId="3" fontId="5" fillId="19" borderId="58" xfId="1" applyNumberFormat="1" applyFill="1" applyBorder="1" applyAlignment="1">
      <alignment horizontal="center" vertical="center"/>
    </xf>
    <xf numFmtId="0" fontId="5" fillId="19" borderId="17" xfId="1" applyFill="1" applyBorder="1" applyAlignment="1">
      <alignment vertical="center"/>
    </xf>
    <xf numFmtId="0" fontId="6" fillId="0" borderId="45" xfId="1" applyFont="1" applyBorder="1" applyAlignment="1">
      <alignment vertical="center"/>
    </xf>
    <xf numFmtId="0" fontId="6" fillId="0" borderId="24" xfId="1" applyFont="1" applyBorder="1" applyAlignment="1">
      <alignment horizontal="center" vertical="center"/>
    </xf>
    <xf numFmtId="3" fontId="6" fillId="0" borderId="45" xfId="2" applyNumberFormat="1" applyFont="1" applyFill="1" applyBorder="1" applyAlignment="1" applyProtection="1">
      <alignment horizontal="center" vertical="center"/>
    </xf>
    <xf numFmtId="4" fontId="6" fillId="0" borderId="33" xfId="2" applyNumberFormat="1" applyFont="1" applyFill="1" applyBorder="1" applyAlignment="1" applyProtection="1">
      <alignment horizontal="center" vertical="center"/>
    </xf>
    <xf numFmtId="165" fontId="6" fillId="0" borderId="22" xfId="2" applyNumberFormat="1" applyFont="1" applyFill="1" applyBorder="1" applyAlignment="1" applyProtection="1">
      <alignment vertical="center"/>
    </xf>
    <xf numFmtId="3" fontId="5" fillId="0" borderId="59" xfId="1" applyNumberFormat="1" applyBorder="1" applyAlignment="1">
      <alignment horizontal="center" vertical="center"/>
    </xf>
    <xf numFmtId="4" fontId="5" fillId="0" borderId="30" xfId="1" applyNumberFormat="1" applyBorder="1" applyAlignment="1">
      <alignment horizontal="center" vertical="center"/>
    </xf>
    <xf numFmtId="4" fontId="6" fillId="20" borderId="46" xfId="2" applyNumberFormat="1" applyFont="1" applyFill="1" applyBorder="1" applyAlignment="1" applyProtection="1">
      <alignment horizontal="center" vertical="center"/>
    </xf>
    <xf numFmtId="165" fontId="5" fillId="0" borderId="24" xfId="1" applyNumberFormat="1" applyBorder="1" applyAlignment="1">
      <alignment vertical="center"/>
    </xf>
    <xf numFmtId="1" fontId="5" fillId="0" borderId="0" xfId="1" applyNumberFormat="1" applyAlignment="1">
      <alignment horizontal="center" vertical="center"/>
    </xf>
    <xf numFmtId="3" fontId="5" fillId="0" borderId="21" xfId="1" applyNumberFormat="1" applyBorder="1" applyAlignment="1">
      <alignment horizontal="center" vertical="center"/>
    </xf>
    <xf numFmtId="4" fontId="5" fillId="0" borderId="0" xfId="1" applyNumberFormat="1" applyAlignment="1">
      <alignment horizontal="center" vertical="center"/>
    </xf>
    <xf numFmtId="165" fontId="5" fillId="0" borderId="22" xfId="1" applyNumberFormat="1" applyBorder="1" applyAlignment="1">
      <alignment vertical="center"/>
    </xf>
    <xf numFmtId="3" fontId="5" fillId="19" borderId="21" xfId="1" applyNumberFormat="1" applyFill="1" applyBorder="1" applyAlignment="1">
      <alignment horizontal="center" vertical="center"/>
    </xf>
    <xf numFmtId="3" fontId="5" fillId="19" borderId="60" xfId="1" applyNumberFormat="1" applyFill="1" applyBorder="1" applyAlignment="1">
      <alignment horizontal="center" vertical="center"/>
    </xf>
    <xf numFmtId="3" fontId="5" fillId="19" borderId="41" xfId="1" applyNumberFormat="1" applyFill="1" applyBorder="1" applyAlignment="1">
      <alignment horizontal="center" vertical="center"/>
    </xf>
    <xf numFmtId="0" fontId="5" fillId="19" borderId="24" xfId="1" applyFill="1" applyBorder="1" applyAlignment="1">
      <alignment vertical="center"/>
    </xf>
    <xf numFmtId="4" fontId="6" fillId="0" borderId="21" xfId="2" applyNumberFormat="1" applyFont="1" applyFill="1" applyBorder="1" applyAlignment="1" applyProtection="1">
      <alignment horizontal="center" vertical="center"/>
    </xf>
    <xf numFmtId="165" fontId="6" fillId="0" borderId="24" xfId="2" applyNumberFormat="1" applyFont="1" applyFill="1" applyBorder="1" applyAlignment="1" applyProtection="1">
      <alignment vertical="center"/>
    </xf>
    <xf numFmtId="4" fontId="5" fillId="0" borderId="33" xfId="1" applyNumberFormat="1" applyBorder="1" applyAlignment="1">
      <alignment horizontal="center" vertical="center"/>
    </xf>
    <xf numFmtId="4" fontId="6" fillId="20" borderId="33" xfId="2" applyNumberFormat="1" applyFont="1" applyFill="1" applyBorder="1" applyAlignment="1" applyProtection="1">
      <alignment horizontal="center" vertical="center"/>
    </xf>
    <xf numFmtId="165" fontId="5" fillId="0" borderId="23" xfId="1" applyNumberFormat="1" applyBorder="1" applyAlignment="1">
      <alignment vertical="center"/>
    </xf>
    <xf numFmtId="1" fontId="5" fillId="0" borderId="59" xfId="1" applyNumberFormat="1" applyBorder="1" applyAlignment="1">
      <alignment horizontal="center" vertical="center"/>
    </xf>
    <xf numFmtId="4" fontId="5" fillId="0" borderId="21" xfId="1" applyNumberFormat="1" applyBorder="1" applyAlignment="1">
      <alignment horizontal="center" vertical="center"/>
    </xf>
    <xf numFmtId="4" fontId="6" fillId="0" borderId="0" xfId="2" applyNumberFormat="1" applyFont="1" applyFill="1" applyBorder="1" applyAlignment="1" applyProtection="1">
      <alignment horizontal="center" vertical="center"/>
    </xf>
    <xf numFmtId="4" fontId="6" fillId="20" borderId="27" xfId="2" applyNumberFormat="1" applyFont="1" applyFill="1" applyBorder="1" applyAlignment="1" applyProtection="1">
      <alignment horizontal="center" vertical="center"/>
    </xf>
    <xf numFmtId="165" fontId="6" fillId="0" borderId="23" xfId="2" applyNumberFormat="1" applyFont="1" applyFill="1" applyBorder="1" applyAlignment="1" applyProtection="1">
      <alignment vertical="center"/>
    </xf>
    <xf numFmtId="4" fontId="5" fillId="0" borderId="34" xfId="1" applyNumberFormat="1" applyBorder="1" applyAlignment="1">
      <alignment horizontal="center" vertical="center"/>
    </xf>
    <xf numFmtId="165" fontId="5" fillId="0" borderId="32" xfId="1" applyNumberFormat="1" applyBorder="1" applyAlignment="1">
      <alignment vertical="center"/>
    </xf>
    <xf numFmtId="1" fontId="5" fillId="0" borderId="62" xfId="1" applyNumberFormat="1" applyBorder="1" applyAlignment="1">
      <alignment horizontal="center" vertical="center"/>
    </xf>
    <xf numFmtId="3" fontId="6" fillId="11" borderId="37" xfId="1" applyNumberFormat="1" applyFont="1" applyFill="1" applyBorder="1" applyAlignment="1">
      <alignment horizontal="center" vertical="center"/>
    </xf>
    <xf numFmtId="4" fontId="6" fillId="11" borderId="36" xfId="1" applyNumberFormat="1" applyFont="1" applyFill="1" applyBorder="1" applyAlignment="1">
      <alignment horizontal="center" vertical="center"/>
    </xf>
    <xf numFmtId="4" fontId="6" fillId="11" borderId="36" xfId="2" applyNumberFormat="1" applyFont="1" applyFill="1" applyBorder="1" applyAlignment="1" applyProtection="1">
      <alignment horizontal="center" vertical="center"/>
    </xf>
    <xf numFmtId="165" fontId="6" fillId="11" borderId="63" xfId="2" applyNumberFormat="1" applyFont="1" applyFill="1" applyBorder="1" applyAlignment="1" applyProtection="1">
      <alignment vertical="center"/>
    </xf>
    <xf numFmtId="3" fontId="5" fillId="11" borderId="37" xfId="1" applyNumberFormat="1" applyFill="1" applyBorder="1" applyAlignment="1">
      <alignment horizontal="center" vertical="center"/>
    </xf>
    <xf numFmtId="4" fontId="5" fillId="11" borderId="48" xfId="1" applyNumberFormat="1" applyFill="1" applyBorder="1" applyAlignment="1">
      <alignment horizontal="center" vertical="center"/>
    </xf>
    <xf numFmtId="2" fontId="5" fillId="11" borderId="36" xfId="1" applyNumberFormat="1" applyFill="1" applyBorder="1" applyAlignment="1">
      <alignment horizontal="center" vertical="center"/>
    </xf>
    <xf numFmtId="165" fontId="5" fillId="11" borderId="22" xfId="1" applyNumberFormat="1" applyFill="1" applyBorder="1" applyAlignment="1">
      <alignment vertical="center"/>
    </xf>
    <xf numFmtId="1" fontId="5" fillId="11" borderId="26" xfId="1" applyNumberFormat="1" applyFill="1" applyBorder="1" applyAlignment="1">
      <alignment horizontal="center" vertical="center"/>
    </xf>
    <xf numFmtId="2" fontId="5" fillId="11" borderId="19" xfId="1" applyNumberFormat="1" applyFill="1" applyBorder="1" applyAlignment="1">
      <alignment horizontal="center" vertical="center"/>
    </xf>
    <xf numFmtId="165" fontId="5" fillId="11" borderId="28" xfId="1" applyNumberFormat="1" applyFill="1" applyBorder="1" applyAlignment="1">
      <alignment vertical="center"/>
    </xf>
    <xf numFmtId="3" fontId="13" fillId="11" borderId="45" xfId="1" applyNumberFormat="1" applyFont="1" applyFill="1" applyBorder="1" applyAlignment="1">
      <alignment horizontal="center" vertical="center"/>
    </xf>
    <xf numFmtId="4" fontId="13" fillId="11" borderId="29" xfId="1" applyNumberFormat="1" applyFont="1" applyFill="1" applyBorder="1" applyAlignment="1">
      <alignment horizontal="center" vertical="center"/>
    </xf>
    <xf numFmtId="4" fontId="13" fillId="11" borderId="34" xfId="1" applyNumberFormat="1" applyFont="1" applyFill="1" applyBorder="1" applyAlignment="1">
      <alignment horizontal="center" vertical="center"/>
    </xf>
    <xf numFmtId="165" fontId="13" fillId="11" borderId="28" xfId="1" applyNumberFormat="1" applyFont="1" applyFill="1" applyBorder="1" applyAlignment="1">
      <alignment vertical="center"/>
    </xf>
    <xf numFmtId="3" fontId="5" fillId="0" borderId="45" xfId="1" applyNumberFormat="1" applyBorder="1" applyAlignment="1">
      <alignment horizontal="center" vertical="center"/>
    </xf>
    <xf numFmtId="4" fontId="6" fillId="20" borderId="33" xfId="1" applyNumberFormat="1" applyFont="1" applyFill="1" applyBorder="1" applyAlignment="1">
      <alignment horizontal="center" vertical="center"/>
    </xf>
    <xf numFmtId="165" fontId="5" fillId="0" borderId="28" xfId="1" applyNumberFormat="1" applyBorder="1" applyAlignment="1">
      <alignment vertical="center"/>
    </xf>
    <xf numFmtId="3" fontId="11" fillId="0" borderId="37" xfId="1" applyNumberFormat="1" applyFont="1" applyBorder="1" applyAlignment="1">
      <alignment horizontal="center" vertical="center"/>
    </xf>
    <xf numFmtId="4" fontId="11" fillId="0" borderId="48" xfId="1" applyNumberFormat="1" applyFont="1" applyBorder="1" applyAlignment="1">
      <alignment horizontal="center" vertical="center"/>
    </xf>
    <xf numFmtId="4" fontId="6" fillId="0" borderId="30" xfId="2" applyNumberFormat="1" applyFont="1" applyFill="1" applyBorder="1" applyAlignment="1" applyProtection="1">
      <alignment horizontal="center" vertical="center"/>
    </xf>
    <xf numFmtId="165" fontId="10" fillId="0" borderId="63" xfId="2" applyNumberFormat="1" applyFont="1" applyFill="1" applyBorder="1" applyAlignment="1" applyProtection="1">
      <alignment vertical="center"/>
    </xf>
    <xf numFmtId="4" fontId="11" fillId="0" borderId="47" xfId="1" applyNumberFormat="1" applyFont="1" applyBorder="1" applyAlignment="1">
      <alignment horizontal="center" vertical="center"/>
    </xf>
    <xf numFmtId="2" fontId="5" fillId="0" borderId="13" xfId="1" applyNumberFormat="1" applyBorder="1" applyAlignment="1">
      <alignment horizontal="center" vertical="center"/>
    </xf>
    <xf numFmtId="165" fontId="11" fillId="0" borderId="4" xfId="1" applyNumberFormat="1" applyFont="1" applyBorder="1" applyAlignment="1">
      <alignment vertical="center"/>
    </xf>
    <xf numFmtId="1" fontId="11" fillId="0" borderId="1" xfId="1" applyNumberFormat="1" applyFont="1" applyBorder="1" applyAlignment="1">
      <alignment horizontal="center" vertical="center"/>
    </xf>
    <xf numFmtId="2" fontId="5" fillId="0" borderId="31" xfId="1" applyNumberFormat="1" applyBorder="1" applyAlignment="1">
      <alignment horizontal="center" vertical="center"/>
    </xf>
    <xf numFmtId="165" fontId="11" fillId="0" borderId="63" xfId="1" applyNumberFormat="1" applyFont="1" applyBorder="1" applyAlignment="1">
      <alignment vertical="center"/>
    </xf>
    <xf numFmtId="3" fontId="11" fillId="0" borderId="5" xfId="1" applyNumberFormat="1" applyFont="1" applyBorder="1" applyAlignment="1">
      <alignment horizontal="center" vertical="center"/>
    </xf>
    <xf numFmtId="4" fontId="11" fillId="0" borderId="12" xfId="1" applyNumberFormat="1" applyFont="1" applyBorder="1" applyAlignment="1">
      <alignment horizontal="center" vertical="center"/>
    </xf>
    <xf numFmtId="4" fontId="13" fillId="0" borderId="65" xfId="1" applyNumberFormat="1" applyFont="1" applyBorder="1" applyAlignment="1">
      <alignment horizontal="center" vertical="center"/>
    </xf>
    <xf numFmtId="3" fontId="11" fillId="0" borderId="6" xfId="1" applyNumberFormat="1" applyFont="1" applyBorder="1" applyAlignment="1">
      <alignment horizontal="center" vertical="center"/>
    </xf>
    <xf numFmtId="3" fontId="13" fillId="12" borderId="13" xfId="1" applyNumberFormat="1" applyFont="1" applyFill="1" applyBorder="1" applyAlignment="1">
      <alignment horizontal="center" vertical="center"/>
    </xf>
    <xf numFmtId="165" fontId="11" fillId="0" borderId="66" xfId="1" applyNumberFormat="1" applyFont="1" applyBorder="1" applyAlignment="1">
      <alignment vertical="center"/>
    </xf>
    <xf numFmtId="0" fontId="6" fillId="0" borderId="46" xfId="1" applyFont="1" applyBorder="1" applyAlignment="1">
      <alignment vertical="center"/>
    </xf>
    <xf numFmtId="0" fontId="6" fillId="0" borderId="19" xfId="1" applyFont="1" applyBorder="1" applyAlignment="1">
      <alignment horizontal="center" vertical="center"/>
    </xf>
    <xf numFmtId="3" fontId="6" fillId="0" borderId="38" xfId="1" applyNumberFormat="1" applyFont="1" applyBorder="1" applyAlignment="1">
      <alignment horizontal="center" vertical="center"/>
    </xf>
    <xf numFmtId="4" fontId="6" fillId="0" borderId="0" xfId="1" applyNumberFormat="1" applyFont="1" applyAlignment="1">
      <alignment horizontal="center" vertical="center"/>
    </xf>
    <xf numFmtId="3" fontId="6" fillId="0" borderId="20" xfId="1" applyNumberFormat="1" applyFont="1" applyBorder="1" applyAlignment="1">
      <alignment horizontal="center" vertical="center"/>
    </xf>
    <xf numFmtId="2" fontId="6" fillId="20" borderId="27" xfId="1" applyNumberFormat="1" applyFont="1" applyFill="1" applyBorder="1" applyAlignment="1">
      <alignment horizontal="center" vertical="center"/>
    </xf>
    <xf numFmtId="165" fontId="6" fillId="0" borderId="22" xfId="1" applyNumberFormat="1" applyFont="1" applyBorder="1" applyAlignment="1">
      <alignment vertical="center"/>
    </xf>
    <xf numFmtId="1" fontId="6" fillId="0" borderId="0" xfId="1" applyNumberFormat="1" applyFont="1" applyAlignment="1">
      <alignment horizontal="center" vertical="center"/>
    </xf>
    <xf numFmtId="2" fontId="6" fillId="20" borderId="0" xfId="1" applyNumberFormat="1" applyFont="1" applyFill="1" applyAlignment="1">
      <alignment horizontal="center" vertical="center"/>
    </xf>
    <xf numFmtId="165" fontId="6" fillId="0" borderId="17" xfId="1" applyNumberFormat="1" applyFont="1" applyBorder="1" applyAlignment="1">
      <alignment vertical="center"/>
    </xf>
    <xf numFmtId="3" fontId="6" fillId="0" borderId="18" xfId="1" applyNumberFormat="1" applyFont="1" applyBorder="1" applyAlignment="1">
      <alignment horizontal="center" vertical="center"/>
    </xf>
    <xf numFmtId="4" fontId="6" fillId="20" borderId="65" xfId="1" applyNumberFormat="1" applyFont="1" applyFill="1" applyBorder="1" applyAlignment="1">
      <alignment horizontal="center" vertical="center"/>
    </xf>
    <xf numFmtId="165" fontId="6" fillId="0" borderId="32" xfId="1" applyNumberFormat="1" applyFont="1" applyBorder="1" applyAlignment="1">
      <alignment vertical="center"/>
    </xf>
    <xf numFmtId="3" fontId="5" fillId="11" borderId="67" xfId="1" applyNumberFormat="1" applyFill="1" applyBorder="1" applyAlignment="1">
      <alignment horizontal="center" vertical="center"/>
    </xf>
    <xf numFmtId="3" fontId="5" fillId="11" borderId="18" xfId="1" applyNumberFormat="1" applyFill="1" applyBorder="1" applyAlignment="1">
      <alignment horizontal="center" vertical="center"/>
    </xf>
    <xf numFmtId="3" fontId="13" fillId="11" borderId="15" xfId="1" applyNumberFormat="1" applyFont="1" applyFill="1" applyBorder="1" applyAlignment="1">
      <alignment horizontal="center" vertical="center"/>
    </xf>
    <xf numFmtId="0" fontId="5" fillId="11" borderId="32" xfId="1" applyFill="1" applyBorder="1" applyAlignment="1">
      <alignment vertical="center"/>
    </xf>
    <xf numFmtId="3" fontId="6" fillId="11" borderId="20" xfId="1" applyNumberFormat="1" applyFont="1" applyFill="1" applyBorder="1" applyAlignment="1">
      <alignment horizontal="center" vertical="center"/>
    </xf>
    <xf numFmtId="4" fontId="6" fillId="11" borderId="41" xfId="1" applyNumberFormat="1" applyFont="1" applyFill="1" applyBorder="1" applyAlignment="1">
      <alignment horizontal="center" vertical="center"/>
    </xf>
    <xf numFmtId="4" fontId="6" fillId="11" borderId="73" xfId="1" applyNumberFormat="1" applyFont="1" applyFill="1" applyBorder="1" applyAlignment="1">
      <alignment horizontal="center" vertical="center"/>
    </xf>
    <xf numFmtId="165" fontId="6" fillId="11" borderId="72" xfId="2" applyNumberFormat="1" applyFont="1" applyFill="1" applyBorder="1" applyAlignment="1" applyProtection="1">
      <alignment vertical="center"/>
    </xf>
    <xf numFmtId="4" fontId="6" fillId="11" borderId="0" xfId="1" applyNumberFormat="1" applyFont="1" applyFill="1" applyAlignment="1">
      <alignment horizontal="center" vertical="center"/>
    </xf>
    <xf numFmtId="2" fontId="6" fillId="11" borderId="27" xfId="1" applyNumberFormat="1" applyFont="1" applyFill="1" applyBorder="1" applyAlignment="1">
      <alignment horizontal="center" vertical="center"/>
    </xf>
    <xf numFmtId="165" fontId="6" fillId="11" borderId="22" xfId="1" applyNumberFormat="1" applyFont="1" applyFill="1" applyBorder="1" applyAlignment="1">
      <alignment vertical="center"/>
    </xf>
    <xf numFmtId="1" fontId="6" fillId="11" borderId="45" xfId="1" applyNumberFormat="1" applyFont="1" applyFill="1" applyBorder="1" applyAlignment="1">
      <alignment horizontal="center" vertical="center"/>
    </xf>
    <xf numFmtId="2" fontId="6" fillId="11" borderId="41" xfId="1" applyNumberFormat="1" applyFont="1" applyFill="1" applyBorder="1" applyAlignment="1">
      <alignment horizontal="center" vertical="center"/>
    </xf>
    <xf numFmtId="165" fontId="6" fillId="11" borderId="24" xfId="1" applyNumberFormat="1" applyFont="1" applyFill="1" applyBorder="1" applyAlignment="1">
      <alignment vertical="center"/>
    </xf>
    <xf numFmtId="3" fontId="6" fillId="11" borderId="18" xfId="1" applyNumberFormat="1" applyFont="1" applyFill="1" applyBorder="1" applyAlignment="1">
      <alignment horizontal="center" vertical="center"/>
    </xf>
    <xf numFmtId="4" fontId="6" fillId="11" borderId="33" xfId="1" applyNumberFormat="1" applyFont="1" applyFill="1" applyBorder="1" applyAlignment="1">
      <alignment horizontal="center" vertical="center"/>
    </xf>
    <xf numFmtId="165" fontId="6" fillId="11" borderId="32" xfId="1" applyNumberFormat="1" applyFont="1" applyFill="1" applyBorder="1" applyAlignment="1">
      <alignment vertical="center"/>
    </xf>
    <xf numFmtId="3" fontId="5" fillId="11" borderId="0" xfId="1" applyNumberFormat="1" applyFill="1" applyAlignment="1">
      <alignment horizontal="center" vertical="center"/>
    </xf>
    <xf numFmtId="3" fontId="13" fillId="11" borderId="27" xfId="1" applyNumberFormat="1" applyFont="1" applyFill="1" applyBorder="1" applyAlignment="1">
      <alignment horizontal="center" vertical="center"/>
    </xf>
    <xf numFmtId="0" fontId="6" fillId="0" borderId="33" xfId="1" applyFont="1" applyBorder="1" applyAlignment="1">
      <alignment vertical="center"/>
    </xf>
    <xf numFmtId="0" fontId="6" fillId="0" borderId="60" xfId="1" applyFont="1" applyBorder="1" applyAlignment="1">
      <alignment horizontal="center" vertical="center"/>
    </xf>
    <xf numFmtId="3" fontId="6" fillId="0" borderId="45" xfId="1" applyNumberFormat="1" applyFont="1" applyBorder="1" applyAlignment="1">
      <alignment horizontal="center" vertical="center"/>
    </xf>
    <xf numFmtId="4" fontId="6" fillId="0" borderId="19" xfId="1" applyNumberFormat="1" applyFont="1" applyBorder="1" applyAlignment="1">
      <alignment horizontal="center" vertical="center"/>
    </xf>
    <xf numFmtId="4" fontId="6" fillId="0" borderId="21" xfId="1" applyNumberFormat="1" applyFont="1" applyBorder="1" applyAlignment="1">
      <alignment horizontal="center" vertical="center"/>
    </xf>
    <xf numFmtId="2" fontId="6" fillId="20" borderId="33" xfId="1" applyNumberFormat="1" applyFont="1" applyFill="1" applyBorder="1" applyAlignment="1">
      <alignment horizontal="center" vertical="center"/>
    </xf>
    <xf numFmtId="165" fontId="6" fillId="0" borderId="24" xfId="1" applyNumberFormat="1" applyFont="1" applyBorder="1" applyAlignment="1">
      <alignment vertical="center"/>
    </xf>
    <xf numFmtId="1" fontId="6" fillId="0" borderId="60" xfId="1" applyNumberFormat="1" applyFont="1" applyBorder="1" applyAlignment="1">
      <alignment horizontal="center" vertical="center"/>
    </xf>
    <xf numFmtId="2" fontId="6" fillId="20" borderId="34" xfId="1" applyNumberFormat="1" applyFont="1" applyFill="1" applyBorder="1" applyAlignment="1">
      <alignment horizontal="center" vertical="center"/>
    </xf>
    <xf numFmtId="165" fontId="6" fillId="0" borderId="39" xfId="1" applyNumberFormat="1" applyFont="1" applyBorder="1" applyAlignment="1">
      <alignment vertical="center"/>
    </xf>
    <xf numFmtId="3" fontId="6" fillId="11" borderId="21" xfId="1" applyNumberFormat="1" applyFont="1" applyFill="1" applyBorder="1" applyAlignment="1">
      <alignment horizontal="center" vertical="center"/>
    </xf>
    <xf numFmtId="4" fontId="6" fillId="11" borderId="29" xfId="1" applyNumberFormat="1" applyFont="1" applyFill="1" applyBorder="1" applyAlignment="1">
      <alignment horizontal="center" vertical="center"/>
    </xf>
    <xf numFmtId="4" fontId="6" fillId="11" borderId="34" xfId="1" applyNumberFormat="1" applyFont="1" applyFill="1" applyBorder="1" applyAlignment="1">
      <alignment horizontal="center" vertical="center"/>
    </xf>
    <xf numFmtId="3" fontId="5" fillId="11" borderId="45" xfId="1" applyNumberFormat="1" applyFill="1" applyBorder="1" applyAlignment="1">
      <alignment horizontal="center" vertical="center"/>
    </xf>
    <xf numFmtId="3" fontId="5" fillId="11" borderId="21" xfId="1" applyNumberFormat="1" applyFill="1" applyBorder="1" applyAlignment="1">
      <alignment horizontal="center" vertical="center"/>
    </xf>
    <xf numFmtId="3" fontId="13" fillId="11" borderId="33" xfId="1" applyNumberFormat="1" applyFont="1" applyFill="1" applyBorder="1" applyAlignment="1">
      <alignment horizontal="center" vertical="center"/>
    </xf>
    <xf numFmtId="0" fontId="5" fillId="11" borderId="24" xfId="1" applyFill="1" applyBorder="1" applyAlignment="1">
      <alignment vertical="center"/>
    </xf>
    <xf numFmtId="1" fontId="6" fillId="11" borderId="60" xfId="1" applyNumberFormat="1" applyFont="1" applyFill="1" applyBorder="1" applyAlignment="1">
      <alignment horizontal="center" vertical="center"/>
    </xf>
    <xf numFmtId="2" fontId="6" fillId="11" borderId="33" xfId="1" applyNumberFormat="1" applyFont="1" applyFill="1" applyBorder="1" applyAlignment="1">
      <alignment horizontal="center" vertical="center"/>
    </xf>
    <xf numFmtId="165" fontId="6" fillId="11" borderId="39" xfId="1" applyNumberFormat="1" applyFont="1" applyFill="1" applyBorder="1" applyAlignment="1">
      <alignment vertical="center"/>
    </xf>
    <xf numFmtId="3" fontId="5" fillId="11" borderId="29" xfId="1" applyNumberFormat="1" applyFill="1" applyBorder="1" applyAlignment="1">
      <alignment horizontal="center" vertical="center"/>
    </xf>
    <xf numFmtId="3" fontId="13" fillId="11" borderId="34" xfId="1" applyNumberFormat="1" applyFont="1" applyFill="1" applyBorder="1" applyAlignment="1">
      <alignment horizontal="center" vertical="center"/>
    </xf>
    <xf numFmtId="3" fontId="6" fillId="11" borderId="45" xfId="1" applyNumberFormat="1" applyFont="1" applyFill="1" applyBorder="1" applyAlignment="1">
      <alignment horizontal="center" vertical="center"/>
    </xf>
    <xf numFmtId="4" fontId="6" fillId="11" borderId="19" xfId="1" applyNumberFormat="1" applyFont="1" applyFill="1" applyBorder="1" applyAlignment="1">
      <alignment horizontal="center" vertical="center"/>
    </xf>
    <xf numFmtId="2" fontId="6" fillId="11" borderId="34" xfId="1" applyNumberFormat="1" applyFont="1" applyFill="1" applyBorder="1" applyAlignment="1">
      <alignment horizontal="center" vertical="center"/>
    </xf>
    <xf numFmtId="2" fontId="6" fillId="11" borderId="46" xfId="1" applyNumberFormat="1" applyFont="1" applyFill="1" applyBorder="1" applyAlignment="1">
      <alignment horizontal="center" vertical="center"/>
    </xf>
    <xf numFmtId="165" fontId="6" fillId="11" borderId="68" xfId="1" applyNumberFormat="1" applyFont="1" applyFill="1" applyBorder="1" applyAlignment="1">
      <alignment vertical="center"/>
    </xf>
    <xf numFmtId="4" fontId="6" fillId="11" borderId="21" xfId="1" applyNumberFormat="1" applyFont="1" applyFill="1" applyBorder="1" applyAlignment="1">
      <alignment horizontal="center" vertical="center"/>
    </xf>
    <xf numFmtId="4" fontId="6" fillId="0" borderId="33" xfId="1" applyNumberFormat="1" applyFont="1" applyBorder="1" applyAlignment="1">
      <alignment horizontal="center" vertical="center"/>
    </xf>
    <xf numFmtId="3" fontId="6" fillId="0" borderId="21" xfId="1" applyNumberFormat="1" applyFont="1" applyBorder="1" applyAlignment="1">
      <alignment horizontal="center" vertical="center"/>
    </xf>
    <xf numFmtId="2" fontId="6" fillId="20" borderId="30" xfId="1" applyNumberFormat="1" applyFont="1" applyFill="1" applyBorder="1" applyAlignment="1">
      <alignment horizontal="center" vertical="center"/>
    </xf>
    <xf numFmtId="4" fontId="6" fillId="0" borderId="29" xfId="1" applyNumberFormat="1" applyFont="1" applyBorder="1" applyAlignment="1">
      <alignment horizontal="center" vertical="center"/>
    </xf>
    <xf numFmtId="4" fontId="6" fillId="20" borderId="34" xfId="1" applyNumberFormat="1" applyFont="1" applyFill="1" applyBorder="1" applyAlignment="1">
      <alignment horizontal="center" vertical="center"/>
    </xf>
    <xf numFmtId="165" fontId="6" fillId="0" borderId="68" xfId="1" applyNumberFormat="1" applyFont="1" applyBorder="1" applyAlignment="1">
      <alignment vertical="center"/>
    </xf>
    <xf numFmtId="165" fontId="6" fillId="11" borderId="23" xfId="1" applyNumberFormat="1" applyFont="1" applyFill="1" applyBorder="1" applyAlignment="1">
      <alignment vertical="center"/>
    </xf>
    <xf numFmtId="2" fontId="6" fillId="11" borderId="61" xfId="1" applyNumberFormat="1" applyFont="1" applyFill="1" applyBorder="1" applyAlignment="1">
      <alignment horizontal="center" vertical="center"/>
    </xf>
    <xf numFmtId="3" fontId="6" fillId="12" borderId="45" xfId="1" applyNumberFormat="1" applyFont="1" applyFill="1" applyBorder="1" applyAlignment="1">
      <alignment horizontal="center" vertical="center"/>
    </xf>
    <xf numFmtId="4" fontId="6" fillId="12" borderId="19" xfId="1" applyNumberFormat="1" applyFont="1" applyFill="1" applyBorder="1" applyAlignment="1">
      <alignment horizontal="center" vertical="center"/>
    </xf>
    <xf numFmtId="4" fontId="6" fillId="0" borderId="60" xfId="1" applyNumberFormat="1" applyFont="1" applyBorder="1" applyAlignment="1">
      <alignment horizontal="center" vertical="center"/>
    </xf>
    <xf numFmtId="2" fontId="6" fillId="20" borderId="41" xfId="1" applyNumberFormat="1" applyFont="1" applyFill="1" applyBorder="1" applyAlignment="1">
      <alignment horizontal="center" vertical="center"/>
    </xf>
    <xf numFmtId="165" fontId="6" fillId="0" borderId="33" xfId="1" applyNumberFormat="1" applyFont="1" applyBorder="1" applyAlignment="1">
      <alignment vertical="center"/>
    </xf>
    <xf numFmtId="2" fontId="6" fillId="20" borderId="21" xfId="1" applyNumberFormat="1" applyFont="1" applyFill="1" applyBorder="1" applyAlignment="1">
      <alignment horizontal="center" vertical="center"/>
    </xf>
    <xf numFmtId="4" fontId="6" fillId="11" borderId="27" xfId="1" applyNumberFormat="1" applyFont="1" applyFill="1" applyBorder="1" applyAlignment="1">
      <alignment horizontal="center" vertical="center"/>
    </xf>
    <xf numFmtId="0" fontId="6" fillId="0" borderId="34" xfId="1" applyFont="1" applyBorder="1" applyAlignment="1">
      <alignment vertical="center"/>
    </xf>
    <xf numFmtId="0" fontId="6" fillId="0" borderId="61" xfId="1" applyFont="1" applyBorder="1" applyAlignment="1">
      <alignment horizontal="center" vertical="center"/>
    </xf>
    <xf numFmtId="165" fontId="6" fillId="0" borderId="43" xfId="1" applyNumberFormat="1" applyFont="1" applyBorder="1" applyAlignment="1">
      <alignment vertical="center"/>
    </xf>
    <xf numFmtId="4" fontId="6" fillId="20" borderId="27" xfId="1" applyNumberFormat="1" applyFont="1" applyFill="1" applyBorder="1" applyAlignment="1">
      <alignment horizontal="center" vertical="center"/>
    </xf>
    <xf numFmtId="3" fontId="6" fillId="11" borderId="33" xfId="1" applyNumberFormat="1" applyFont="1" applyFill="1" applyBorder="1" applyAlignment="1">
      <alignment horizontal="center" vertical="center"/>
    </xf>
    <xf numFmtId="0" fontId="6" fillId="11" borderId="24" xfId="1" applyFont="1" applyFill="1" applyBorder="1" applyAlignment="1">
      <alignment vertical="center"/>
    </xf>
    <xf numFmtId="3" fontId="6" fillId="11" borderId="27" xfId="1" applyNumberFormat="1" applyFont="1" applyFill="1" applyBorder="1" applyAlignment="1">
      <alignment horizontal="center" vertical="center"/>
    </xf>
    <xf numFmtId="0" fontId="6" fillId="0" borderId="41" xfId="1" applyFont="1" applyBorder="1" applyAlignment="1">
      <alignment horizontal="center" vertical="center"/>
    </xf>
    <xf numFmtId="2" fontId="6" fillId="11" borderId="60" xfId="1" applyNumberFormat="1" applyFont="1" applyFill="1" applyBorder="1" applyAlignment="1">
      <alignment horizontal="center" vertical="center"/>
    </xf>
    <xf numFmtId="165" fontId="6" fillId="11" borderId="43" xfId="1" applyNumberFormat="1" applyFont="1" applyFill="1" applyBorder="1" applyAlignment="1">
      <alignment vertical="center"/>
    </xf>
    <xf numFmtId="0" fontId="6" fillId="0" borderId="34" xfId="4" applyBorder="1" applyAlignment="1">
      <alignment vertical="center"/>
    </xf>
    <xf numFmtId="0" fontId="6" fillId="0" borderId="44" xfId="4" applyBorder="1" applyAlignment="1">
      <alignment horizontal="center" vertical="center"/>
    </xf>
    <xf numFmtId="1" fontId="6" fillId="0" borderId="59" xfId="1" applyNumberFormat="1" applyFont="1" applyBorder="1" applyAlignment="1">
      <alignment horizontal="center" vertical="center"/>
    </xf>
    <xf numFmtId="2" fontId="6" fillId="20" borderId="60" xfId="1" applyNumberFormat="1" applyFont="1" applyFill="1" applyBorder="1" applyAlignment="1">
      <alignment horizontal="center" vertical="center"/>
    </xf>
    <xf numFmtId="3" fontId="6" fillId="11" borderId="29" xfId="1" applyNumberFormat="1" applyFont="1" applyFill="1" applyBorder="1" applyAlignment="1">
      <alignment horizontal="center" vertical="center"/>
    </xf>
    <xf numFmtId="3" fontId="5" fillId="11" borderId="49" xfId="1" applyNumberFormat="1" applyFill="1" applyBorder="1" applyAlignment="1">
      <alignment horizontal="center" vertical="center"/>
    </xf>
    <xf numFmtId="0" fontId="6" fillId="0" borderId="29" xfId="4" applyBorder="1" applyAlignment="1">
      <alignment vertical="center"/>
    </xf>
    <xf numFmtId="4" fontId="6" fillId="0" borderId="42" xfId="1" applyNumberFormat="1" applyFont="1" applyBorder="1" applyAlignment="1">
      <alignment horizontal="center" vertical="center"/>
    </xf>
    <xf numFmtId="165" fontId="6" fillId="0" borderId="39" xfId="2" applyNumberFormat="1" applyFont="1" applyFill="1" applyBorder="1" applyAlignment="1" applyProtection="1">
      <alignment vertical="center"/>
    </xf>
    <xf numFmtId="2" fontId="6" fillId="20" borderId="44" xfId="1" applyNumberFormat="1" applyFont="1" applyFill="1" applyBorder="1" applyAlignment="1">
      <alignment horizontal="center" vertical="center"/>
    </xf>
    <xf numFmtId="1" fontId="6" fillId="0" borderId="61" xfId="1" applyNumberFormat="1" applyFont="1" applyBorder="1" applyAlignment="1">
      <alignment horizontal="center" vertical="center"/>
    </xf>
    <xf numFmtId="2" fontId="6" fillId="20" borderId="61" xfId="1" applyNumberFormat="1" applyFont="1" applyFill="1" applyBorder="1" applyAlignment="1">
      <alignment horizontal="center" vertical="center"/>
    </xf>
    <xf numFmtId="3" fontId="6" fillId="11" borderId="16" xfId="1" applyNumberFormat="1" applyFont="1" applyFill="1" applyBorder="1" applyAlignment="1">
      <alignment horizontal="center" vertical="center"/>
    </xf>
    <xf numFmtId="0" fontId="6" fillId="0" borderId="26" xfId="4" applyBorder="1" applyAlignment="1">
      <alignment vertical="center"/>
    </xf>
    <xf numFmtId="0" fontId="6" fillId="0" borderId="28" xfId="4" applyBorder="1" applyAlignment="1">
      <alignment horizontal="center" vertical="center"/>
    </xf>
    <xf numFmtId="3" fontId="6" fillId="0" borderId="26" xfId="1" applyNumberFormat="1" applyFont="1" applyBorder="1" applyAlignment="1">
      <alignment horizontal="center" vertical="center"/>
    </xf>
    <xf numFmtId="4" fontId="6" fillId="0" borderId="69" xfId="1" applyNumberFormat="1" applyFont="1" applyBorder="1" applyAlignment="1">
      <alignment horizontal="center" vertical="center"/>
    </xf>
    <xf numFmtId="165" fontId="6" fillId="0" borderId="40" xfId="2" applyNumberFormat="1" applyFont="1" applyFill="1" applyBorder="1" applyAlignment="1" applyProtection="1">
      <alignment vertical="center"/>
    </xf>
    <xf numFmtId="4" fontId="6" fillId="0" borderId="36" xfId="1" applyNumberFormat="1" applyFont="1" applyBorder="1" applyAlignment="1">
      <alignment horizontal="center" vertical="center"/>
    </xf>
    <xf numFmtId="165" fontId="6" fillId="0" borderId="23" xfId="1" applyNumberFormat="1" applyFont="1" applyBorder="1" applyAlignment="1">
      <alignment vertical="center"/>
    </xf>
    <xf numFmtId="1" fontId="6" fillId="0" borderId="26" xfId="1" applyNumberFormat="1" applyFont="1" applyBorder="1" applyAlignment="1">
      <alignment horizontal="center" vertical="center"/>
    </xf>
    <xf numFmtId="2" fontId="6" fillId="20" borderId="69" xfId="1" applyNumberFormat="1" applyFont="1" applyFill="1" applyBorder="1" applyAlignment="1">
      <alignment horizontal="center" vertical="center"/>
    </xf>
    <xf numFmtId="165" fontId="6" fillId="0" borderId="40" xfId="1" applyNumberFormat="1" applyFont="1" applyBorder="1" applyAlignment="1">
      <alignment vertical="center"/>
    </xf>
    <xf numFmtId="3" fontId="6" fillId="12" borderId="26" xfId="1" applyNumberFormat="1" applyFont="1" applyFill="1" applyBorder="1" applyAlignment="1">
      <alignment horizontal="center" vertical="center"/>
    </xf>
    <xf numFmtId="4" fontId="6" fillId="12" borderId="35" xfId="1" applyNumberFormat="1" applyFont="1" applyFill="1" applyBorder="1" applyAlignment="1">
      <alignment horizontal="center" vertical="center"/>
    </xf>
    <xf numFmtId="4" fontId="6" fillId="20" borderId="36" xfId="1" applyNumberFormat="1" applyFont="1" applyFill="1" applyBorder="1" applyAlignment="1">
      <alignment horizontal="center" vertical="center"/>
    </xf>
    <xf numFmtId="165" fontId="6" fillId="12" borderId="28" xfId="1" applyNumberFormat="1" applyFont="1" applyFill="1" applyBorder="1" applyAlignment="1">
      <alignment vertical="center"/>
    </xf>
    <xf numFmtId="3" fontId="5" fillId="11" borderId="26" xfId="1" applyNumberFormat="1" applyFill="1" applyBorder="1" applyAlignment="1">
      <alignment horizontal="center" vertical="center"/>
    </xf>
    <xf numFmtId="3" fontId="5" fillId="11" borderId="36" xfId="1" applyNumberFormat="1" applyFill="1" applyBorder="1" applyAlignment="1">
      <alignment horizontal="center" vertical="center"/>
    </xf>
    <xf numFmtId="165" fontId="6" fillId="11" borderId="28" xfId="1" applyNumberFormat="1" applyFont="1" applyFill="1" applyBorder="1" applyAlignment="1">
      <alignment vertical="center"/>
    </xf>
    <xf numFmtId="4" fontId="6" fillId="0" borderId="64" xfId="2" applyNumberFormat="1" applyFont="1" applyFill="1" applyBorder="1" applyAlignment="1" applyProtection="1">
      <alignment horizontal="center" vertical="center"/>
    </xf>
    <xf numFmtId="2" fontId="5" fillId="0" borderId="12" xfId="1" applyNumberFormat="1" applyBorder="1" applyAlignment="1">
      <alignment horizontal="center" vertical="center"/>
    </xf>
    <xf numFmtId="2" fontId="5" fillId="0" borderId="47" xfId="1" applyNumberFormat="1" applyBorder="1" applyAlignment="1">
      <alignment horizontal="center" vertical="center"/>
    </xf>
    <xf numFmtId="165" fontId="19" fillId="12" borderId="7" xfId="1" applyNumberFormat="1" applyFont="1" applyFill="1" applyBorder="1" applyAlignment="1">
      <alignment vertical="center"/>
    </xf>
    <xf numFmtId="3" fontId="11" fillId="0" borderId="48" xfId="1" applyNumberFormat="1" applyFont="1" applyBorder="1" applyAlignment="1">
      <alignment horizontal="center" vertical="center"/>
    </xf>
    <xf numFmtId="4" fontId="11" fillId="0" borderId="0" xfId="1" applyNumberFormat="1" applyFont="1" applyAlignment="1">
      <alignment horizontal="center" vertical="center"/>
    </xf>
    <xf numFmtId="3" fontId="11" fillId="0" borderId="0" xfId="1" applyNumberFormat="1" applyFont="1" applyAlignment="1">
      <alignment horizontal="center" vertical="center"/>
    </xf>
    <xf numFmtId="3" fontId="13" fillId="0" borderId="58" xfId="1" applyNumberFormat="1" applyFont="1" applyBorder="1" applyAlignment="1">
      <alignment horizontal="center" vertical="center"/>
    </xf>
    <xf numFmtId="165" fontId="5" fillId="0" borderId="0" xfId="1" applyNumberFormat="1" applyAlignment="1">
      <alignment vertical="center"/>
    </xf>
    <xf numFmtId="0" fontId="5" fillId="0" borderId="15" xfId="1" applyBorder="1" applyAlignment="1">
      <alignment vertical="center"/>
    </xf>
    <xf numFmtId="0" fontId="5" fillId="0" borderId="19" xfId="1" applyBorder="1" applyAlignment="1">
      <alignment horizontal="center" vertical="center"/>
    </xf>
    <xf numFmtId="3" fontId="5" fillId="11" borderId="38" xfId="1" applyNumberFormat="1" applyFill="1" applyBorder="1" applyAlignment="1">
      <alignment horizontal="center" vertical="center"/>
    </xf>
    <xf numFmtId="4" fontId="5" fillId="11" borderId="19" xfId="1" applyNumberFormat="1" applyFill="1" applyBorder="1" applyAlignment="1">
      <alignment horizontal="center" vertical="center"/>
    </xf>
    <xf numFmtId="4" fontId="13" fillId="11" borderId="16" xfId="2" applyNumberFormat="1" applyFont="1" applyFill="1" applyBorder="1" applyAlignment="1" applyProtection="1">
      <alignment horizontal="center" vertical="center"/>
    </xf>
    <xf numFmtId="165" fontId="6" fillId="11" borderId="17" xfId="2" applyNumberFormat="1" applyFont="1" applyFill="1" applyBorder="1" applyAlignment="1" applyProtection="1">
      <alignment vertical="center"/>
    </xf>
    <xf numFmtId="2" fontId="5" fillId="11" borderId="16" xfId="1" applyNumberFormat="1" applyFill="1" applyBorder="1" applyAlignment="1">
      <alignment horizontal="center" vertical="center"/>
    </xf>
    <xf numFmtId="165" fontId="5" fillId="11" borderId="16" xfId="1" applyNumberFormat="1" applyFill="1" applyBorder="1" applyAlignment="1">
      <alignment vertical="center"/>
    </xf>
    <xf numFmtId="1" fontId="5" fillId="11" borderId="18" xfId="1" applyNumberFormat="1" applyFill="1" applyBorder="1" applyAlignment="1">
      <alignment horizontal="center" vertical="center"/>
    </xf>
    <xf numFmtId="2" fontId="13" fillId="11" borderId="16" xfId="1" applyNumberFormat="1" applyFont="1" applyFill="1" applyBorder="1" applyAlignment="1">
      <alignment horizontal="center" vertical="center"/>
    </xf>
    <xf numFmtId="165" fontId="5" fillId="11" borderId="17" xfId="1" applyNumberFormat="1" applyFill="1" applyBorder="1" applyAlignment="1">
      <alignment vertical="center"/>
    </xf>
    <xf numFmtId="3" fontId="5" fillId="11" borderId="14" xfId="1" applyNumberFormat="1" applyFill="1" applyBorder="1" applyAlignment="1">
      <alignment horizontal="center" vertical="center"/>
    </xf>
    <xf numFmtId="4" fontId="5" fillId="11" borderId="14" xfId="1" applyNumberFormat="1" applyFill="1" applyBorder="1" applyAlignment="1">
      <alignment horizontal="center" vertical="center"/>
    </xf>
    <xf numFmtId="4" fontId="13" fillId="11" borderId="15" xfId="1" applyNumberFormat="1" applyFont="1" applyFill="1" applyBorder="1" applyAlignment="1">
      <alignment horizontal="center" vertical="center"/>
    </xf>
    <xf numFmtId="165" fontId="5" fillId="11" borderId="58" xfId="1" applyNumberFormat="1" applyFill="1" applyBorder="1" applyAlignment="1">
      <alignment vertical="center"/>
    </xf>
    <xf numFmtId="3" fontId="5" fillId="0" borderId="38" xfId="1" applyNumberFormat="1" applyBorder="1" applyAlignment="1">
      <alignment horizontal="center" vertical="center"/>
    </xf>
    <xf numFmtId="4" fontId="5" fillId="0" borderId="9" xfId="1" applyNumberFormat="1" applyBorder="1" applyAlignment="1">
      <alignment horizontal="center" vertical="center"/>
    </xf>
    <xf numFmtId="0" fontId="5" fillId="0" borderId="46" xfId="1" applyBorder="1" applyAlignment="1">
      <alignment vertical="center"/>
    </xf>
    <xf numFmtId="4" fontId="5" fillId="0" borderId="19" xfId="1" applyNumberFormat="1" applyBorder="1" applyAlignment="1">
      <alignment horizontal="center" vertical="center"/>
    </xf>
    <xf numFmtId="1" fontId="6" fillId="0" borderId="18" xfId="1" applyNumberFormat="1" applyFont="1" applyBorder="1" applyAlignment="1">
      <alignment horizontal="center" vertical="center"/>
    </xf>
    <xf numFmtId="2" fontId="6" fillId="20" borderId="16" xfId="1" applyNumberFormat="1" applyFont="1" applyFill="1" applyBorder="1" applyAlignment="1">
      <alignment horizontal="center" vertical="center"/>
    </xf>
    <xf numFmtId="165" fontId="5" fillId="0" borderId="41" xfId="1" applyNumberFormat="1" applyBorder="1" applyAlignment="1">
      <alignment vertical="center"/>
    </xf>
    <xf numFmtId="0" fontId="6" fillId="0" borderId="33" xfId="3" applyBorder="1" applyAlignment="1">
      <alignment vertical="center"/>
    </xf>
    <xf numFmtId="0" fontId="6" fillId="0" borderId="60" xfId="3" applyBorder="1" applyAlignment="1">
      <alignment horizontal="center" vertical="center"/>
    </xf>
    <xf numFmtId="3" fontId="6" fillId="0" borderId="45" xfId="3" applyNumberFormat="1" applyBorder="1" applyAlignment="1">
      <alignment horizontal="center" vertical="center"/>
    </xf>
    <xf numFmtId="4" fontId="6" fillId="0" borderId="19" xfId="3" applyNumberFormat="1" applyBorder="1" applyAlignment="1">
      <alignment horizontal="center" vertical="center"/>
    </xf>
    <xf numFmtId="0" fontId="5" fillId="0" borderId="33" xfId="1" applyBorder="1" applyAlignment="1">
      <alignment vertical="center"/>
    </xf>
    <xf numFmtId="0" fontId="5" fillId="0" borderId="60" xfId="1" applyBorder="1" applyAlignment="1">
      <alignment horizontal="center" vertical="center"/>
    </xf>
    <xf numFmtId="3" fontId="5" fillId="11" borderId="60" xfId="1" applyNumberFormat="1" applyFill="1" applyBorder="1" applyAlignment="1">
      <alignment horizontal="center" vertical="center"/>
    </xf>
    <xf numFmtId="3" fontId="5" fillId="11" borderId="41" xfId="1" applyNumberFormat="1" applyFill="1" applyBorder="1" applyAlignment="1">
      <alignment horizontal="center" vertical="center"/>
    </xf>
    <xf numFmtId="0" fontId="6" fillId="0" borderId="36" xfId="4" applyBorder="1" applyAlignment="1">
      <alignment vertical="center"/>
    </xf>
    <xf numFmtId="0" fontId="6" fillId="0" borderId="70" xfId="4" applyBorder="1" applyAlignment="1">
      <alignment horizontal="center" vertical="center"/>
    </xf>
    <xf numFmtId="3" fontId="6" fillId="0" borderId="26" xfId="4" applyNumberFormat="1" applyBorder="1" applyAlignment="1">
      <alignment horizontal="center" vertical="center"/>
    </xf>
    <xf numFmtId="4" fontId="6" fillId="0" borderId="0" xfId="4" applyNumberFormat="1" applyAlignment="1">
      <alignment horizontal="center" vertical="center"/>
    </xf>
    <xf numFmtId="165" fontId="6" fillId="0" borderId="28" xfId="2" applyNumberFormat="1" applyFont="1" applyFill="1" applyBorder="1" applyAlignment="1" applyProtection="1">
      <alignment vertical="center"/>
    </xf>
    <xf numFmtId="3" fontId="6" fillId="0" borderId="49" xfId="1" applyNumberFormat="1" applyFont="1" applyBorder="1" applyAlignment="1">
      <alignment horizontal="center" vertical="center"/>
    </xf>
    <xf numFmtId="2" fontId="6" fillId="20" borderId="36" xfId="1" applyNumberFormat="1" applyFont="1" applyFill="1" applyBorder="1" applyAlignment="1">
      <alignment horizontal="center" vertical="center"/>
    </xf>
    <xf numFmtId="165" fontId="6" fillId="0" borderId="28" xfId="1" applyNumberFormat="1" applyFont="1" applyBorder="1" applyAlignment="1">
      <alignment vertical="center"/>
    </xf>
    <xf numFmtId="4" fontId="6" fillId="0" borderId="35" xfId="1" applyNumberFormat="1" applyFont="1" applyBorder="1" applyAlignment="1">
      <alignment horizontal="center" vertical="center"/>
    </xf>
    <xf numFmtId="165" fontId="5" fillId="0" borderId="44" xfId="1" applyNumberFormat="1" applyBorder="1" applyAlignment="1">
      <alignment vertical="center"/>
    </xf>
    <xf numFmtId="3" fontId="5" fillId="11" borderId="35" xfId="1" applyNumberFormat="1" applyFill="1" applyBorder="1" applyAlignment="1">
      <alignment horizontal="center" vertical="center"/>
    </xf>
    <xf numFmtId="0" fontId="5" fillId="11" borderId="28" xfId="1" applyFill="1" applyBorder="1" applyAlignment="1">
      <alignment vertical="center"/>
    </xf>
    <xf numFmtId="4" fontId="5" fillId="11" borderId="15" xfId="1" applyNumberFormat="1" applyFill="1" applyBorder="1" applyAlignment="1">
      <alignment horizontal="center" vertical="center"/>
    </xf>
    <xf numFmtId="4" fontId="6" fillId="11" borderId="15" xfId="2" applyNumberFormat="1" applyFont="1" applyFill="1" applyBorder="1" applyAlignment="1" applyProtection="1">
      <alignment horizontal="center" vertical="center"/>
    </xf>
    <xf numFmtId="3" fontId="6" fillId="11" borderId="38" xfId="1" applyNumberFormat="1" applyFont="1" applyFill="1" applyBorder="1" applyAlignment="1">
      <alignment horizontal="center" vertical="center"/>
    </xf>
    <xf numFmtId="165" fontId="6" fillId="11" borderId="17" xfId="1" applyNumberFormat="1" applyFont="1" applyFill="1" applyBorder="1" applyAlignment="1">
      <alignment vertical="center"/>
    </xf>
    <xf numFmtId="1" fontId="6" fillId="11" borderId="38" xfId="1" applyNumberFormat="1" applyFont="1" applyFill="1" applyBorder="1" applyAlignment="1">
      <alignment horizontal="center" vertical="center"/>
    </xf>
    <xf numFmtId="1" fontId="6" fillId="11" borderId="14" xfId="1" applyNumberFormat="1" applyFont="1" applyFill="1" applyBorder="1" applyAlignment="1">
      <alignment horizontal="center" vertical="center"/>
    </xf>
    <xf numFmtId="2" fontId="6" fillId="11" borderId="15" xfId="1" applyNumberFormat="1" applyFont="1" applyFill="1" applyBorder="1" applyAlignment="1">
      <alignment vertical="center"/>
    </xf>
    <xf numFmtId="3" fontId="6" fillId="11" borderId="45" xfId="1" applyNumberFormat="1" applyFont="1" applyFill="1" applyBorder="1" applyAlignment="1">
      <alignment vertical="center"/>
    </xf>
    <xf numFmtId="4" fontId="6" fillId="11" borderId="60" xfId="1" applyNumberFormat="1" applyFont="1" applyFill="1" applyBorder="1" applyAlignment="1">
      <alignment vertical="center"/>
    </xf>
    <xf numFmtId="3" fontId="5" fillId="11" borderId="14" xfId="1" applyNumberFormat="1" applyFill="1" applyBorder="1" applyAlignment="1">
      <alignment vertical="center"/>
    </xf>
    <xf numFmtId="3" fontId="5" fillId="11" borderId="19" xfId="1" applyNumberFormat="1" applyFill="1" applyBorder="1" applyAlignment="1">
      <alignment vertical="center"/>
    </xf>
    <xf numFmtId="3" fontId="5" fillId="11" borderId="16" xfId="1" applyNumberFormat="1" applyFill="1" applyBorder="1" applyAlignment="1">
      <alignment vertical="center"/>
    </xf>
    <xf numFmtId="0" fontId="6" fillId="0" borderId="49" xfId="1" applyFont="1" applyBorder="1" applyAlignment="1">
      <alignment vertical="center"/>
    </xf>
    <xf numFmtId="0" fontId="6" fillId="0" borderId="44" xfId="1" applyFont="1" applyBorder="1" applyAlignment="1">
      <alignment horizontal="center" vertical="center"/>
    </xf>
    <xf numFmtId="4" fontId="5" fillId="11" borderId="29" xfId="1" applyNumberFormat="1" applyFill="1" applyBorder="1" applyAlignment="1">
      <alignment horizontal="center" vertical="center"/>
    </xf>
    <xf numFmtId="4" fontId="6" fillId="11" borderId="33" xfId="2" applyNumberFormat="1" applyFont="1" applyFill="1" applyBorder="1" applyAlignment="1" applyProtection="1">
      <alignment horizontal="center" vertical="center"/>
    </xf>
    <xf numFmtId="165" fontId="6" fillId="11" borderId="24" xfId="2" applyNumberFormat="1" applyFont="1" applyFill="1" applyBorder="1" applyAlignment="1" applyProtection="1">
      <alignment vertical="center"/>
    </xf>
    <xf numFmtId="4" fontId="6" fillId="11" borderId="61" xfId="1" applyNumberFormat="1" applyFont="1" applyFill="1" applyBorder="1" applyAlignment="1">
      <alignment horizontal="center" vertical="center"/>
    </xf>
    <xf numFmtId="1" fontId="6" fillId="11" borderId="0" xfId="1" applyNumberFormat="1" applyFont="1" applyFill="1" applyAlignment="1">
      <alignment horizontal="center" vertical="center"/>
    </xf>
    <xf numFmtId="1" fontId="6" fillId="11" borderId="33" xfId="1" applyNumberFormat="1" applyFont="1" applyFill="1" applyBorder="1" applyAlignment="1">
      <alignment horizontal="center" vertical="center"/>
    </xf>
    <xf numFmtId="2" fontId="6" fillId="11" borderId="16" xfId="1" applyNumberFormat="1" applyFont="1" applyFill="1" applyBorder="1" applyAlignment="1">
      <alignment vertical="center"/>
    </xf>
    <xf numFmtId="3" fontId="6" fillId="11" borderId="49" xfId="1" applyNumberFormat="1" applyFont="1" applyFill="1" applyBorder="1" applyAlignment="1">
      <alignment vertical="center"/>
    </xf>
    <xf numFmtId="4" fontId="6" fillId="11" borderId="61" xfId="1" applyNumberFormat="1" applyFont="1" applyFill="1" applyBorder="1" applyAlignment="1">
      <alignment vertical="center"/>
    </xf>
    <xf numFmtId="4" fontId="6" fillId="11" borderId="44" xfId="1" applyNumberFormat="1" applyFont="1" applyFill="1" applyBorder="1" applyAlignment="1">
      <alignment horizontal="center" vertical="center"/>
    </xf>
    <xf numFmtId="165" fontId="5" fillId="11" borderId="23" xfId="1" applyNumberFormat="1" applyFill="1" applyBorder="1" applyAlignment="1">
      <alignment vertical="center"/>
    </xf>
    <xf numFmtId="3" fontId="5" fillId="11" borderId="21" xfId="1" applyNumberFormat="1" applyFill="1" applyBorder="1" applyAlignment="1">
      <alignment vertical="center"/>
    </xf>
    <xf numFmtId="3" fontId="5" fillId="11" borderId="61" xfId="1" applyNumberFormat="1" applyFill="1" applyBorder="1" applyAlignment="1">
      <alignment vertical="center"/>
    </xf>
    <xf numFmtId="3" fontId="5" fillId="11" borderId="44" xfId="1" applyNumberFormat="1" applyFill="1" applyBorder="1" applyAlignment="1">
      <alignment vertical="center"/>
    </xf>
    <xf numFmtId="0" fontId="5" fillId="11" borderId="23" xfId="1" applyFill="1" applyBorder="1" applyAlignment="1">
      <alignment vertical="center"/>
    </xf>
    <xf numFmtId="3" fontId="5" fillId="0" borderId="49" xfId="1" applyNumberFormat="1" applyBorder="1" applyAlignment="1">
      <alignment horizontal="center" vertical="center"/>
    </xf>
    <xf numFmtId="3" fontId="6" fillId="0" borderId="34" xfId="1" applyNumberFormat="1" applyFont="1" applyBorder="1" applyAlignment="1">
      <alignment horizontal="center" vertical="center"/>
    </xf>
    <xf numFmtId="4" fontId="6" fillId="0" borderId="44" xfId="1" applyNumberFormat="1" applyFont="1" applyBorder="1" applyAlignment="1">
      <alignment horizontal="center" vertical="center"/>
    </xf>
    <xf numFmtId="1" fontId="6" fillId="11" borderId="49" xfId="1" applyNumberFormat="1" applyFont="1" applyFill="1" applyBorder="1" applyAlignment="1">
      <alignment horizontal="center" vertical="center"/>
    </xf>
    <xf numFmtId="2" fontId="6" fillId="11" borderId="27" xfId="1" applyNumberFormat="1" applyFont="1" applyFill="1" applyBorder="1" applyAlignment="1">
      <alignment vertical="center"/>
    </xf>
    <xf numFmtId="3" fontId="6" fillId="11" borderId="29" xfId="1" applyNumberFormat="1" applyFont="1" applyFill="1" applyBorder="1" applyAlignment="1">
      <alignment vertical="center"/>
    </xf>
    <xf numFmtId="3" fontId="6" fillId="11" borderId="33" xfId="1" applyNumberFormat="1" applyFont="1" applyFill="1" applyBorder="1" applyAlignment="1">
      <alignment vertical="center"/>
    </xf>
    <xf numFmtId="165" fontId="5" fillId="11" borderId="24" xfId="1" applyNumberFormat="1" applyFill="1" applyBorder="1" applyAlignment="1">
      <alignment vertical="center"/>
    </xf>
    <xf numFmtId="0" fontId="5" fillId="11" borderId="21" xfId="1" applyFill="1" applyBorder="1" applyAlignment="1">
      <alignment vertical="center"/>
    </xf>
    <xf numFmtId="0" fontId="5" fillId="11" borderId="33" xfId="1" applyFill="1" applyBorder="1" applyAlignment="1">
      <alignment vertical="center"/>
    </xf>
    <xf numFmtId="0" fontId="6" fillId="0" borderId="16" xfId="1" applyFont="1" applyBorder="1" applyAlignment="1">
      <alignment horizontal="center" vertical="center"/>
    </xf>
    <xf numFmtId="4" fontId="5" fillId="0" borderId="36" xfId="1" applyNumberFormat="1" applyBorder="1" applyAlignment="1">
      <alignment horizontal="center" vertical="center"/>
    </xf>
    <xf numFmtId="165" fontId="6" fillId="0" borderId="32" xfId="2" applyNumberFormat="1" applyFont="1" applyFill="1" applyBorder="1" applyAlignment="1" applyProtection="1">
      <alignment vertical="center"/>
    </xf>
    <xf numFmtId="1" fontId="6" fillId="11" borderId="21" xfId="1" applyNumberFormat="1" applyFont="1" applyFill="1" applyBorder="1" applyAlignment="1">
      <alignment horizontal="center" vertical="center"/>
    </xf>
    <xf numFmtId="2" fontId="6" fillId="11" borderId="33" xfId="1" applyNumberFormat="1" applyFont="1" applyFill="1" applyBorder="1" applyAlignment="1">
      <alignment vertical="center"/>
    </xf>
    <xf numFmtId="3" fontId="6" fillId="11" borderId="26" xfId="1" applyNumberFormat="1" applyFont="1" applyFill="1" applyBorder="1" applyAlignment="1">
      <alignment horizontal="center" vertical="center"/>
    </xf>
    <xf numFmtId="165" fontId="5" fillId="11" borderId="32" xfId="1" applyNumberFormat="1" applyFill="1" applyBorder="1" applyAlignment="1">
      <alignment vertical="center"/>
    </xf>
    <xf numFmtId="3" fontId="5" fillId="11" borderId="67" xfId="1" applyNumberFormat="1" applyFill="1" applyBorder="1" applyAlignment="1">
      <alignment vertical="center"/>
    </xf>
    <xf numFmtId="3" fontId="5" fillId="11" borderId="18" xfId="1" applyNumberFormat="1" applyFill="1" applyBorder="1" applyAlignment="1">
      <alignment vertical="center"/>
    </xf>
    <xf numFmtId="3" fontId="5" fillId="11" borderId="46" xfId="1" applyNumberFormat="1" applyFill="1" applyBorder="1" applyAlignment="1">
      <alignment vertical="center"/>
    </xf>
    <xf numFmtId="0" fontId="5" fillId="11" borderId="63" xfId="1" applyFill="1" applyBorder="1" applyAlignment="1">
      <alignment vertical="center"/>
    </xf>
    <xf numFmtId="0" fontId="7" fillId="14" borderId="2" xfId="1" applyFont="1" applyFill="1" applyBorder="1" applyAlignment="1">
      <alignment vertical="center" wrapText="1"/>
    </xf>
    <xf numFmtId="3" fontId="11" fillId="0" borderId="1" xfId="1" applyNumberFormat="1" applyFont="1" applyBorder="1" applyAlignment="1">
      <alignment horizontal="center" vertical="center"/>
    </xf>
    <xf numFmtId="3" fontId="11" fillId="0" borderId="9" xfId="1" applyNumberFormat="1" applyFont="1" applyBorder="1" applyAlignment="1">
      <alignment horizontal="center" vertical="center"/>
    </xf>
    <xf numFmtId="4" fontId="6" fillId="0" borderId="9" xfId="2" applyNumberFormat="1" applyFont="1" applyFill="1" applyBorder="1" applyAlignment="1" applyProtection="1">
      <alignment horizontal="center" vertical="center"/>
    </xf>
    <xf numFmtId="165" fontId="11" fillId="0" borderId="6" xfId="2" applyNumberFormat="1" applyFont="1" applyFill="1" applyBorder="1" applyAlignment="1" applyProtection="1">
      <alignment vertical="center"/>
    </xf>
    <xf numFmtId="3" fontId="11" fillId="0" borderId="8" xfId="1" applyNumberFormat="1" applyFont="1" applyBorder="1" applyAlignment="1">
      <alignment horizontal="center" vertical="center"/>
    </xf>
    <xf numFmtId="2" fontId="11" fillId="0" borderId="9" xfId="1" applyNumberFormat="1" applyFont="1" applyBorder="1" applyAlignment="1">
      <alignment vertical="center"/>
    </xf>
    <xf numFmtId="2" fontId="11" fillId="0" borderId="9" xfId="2" applyNumberFormat="1" applyFont="1" applyFill="1" applyBorder="1" applyAlignment="1" applyProtection="1">
      <alignment vertical="center"/>
    </xf>
    <xf numFmtId="4" fontId="11" fillId="0" borderId="6" xfId="1" applyNumberFormat="1" applyFont="1" applyBorder="1" applyAlignment="1">
      <alignment horizontal="center" vertical="center"/>
    </xf>
    <xf numFmtId="165" fontId="11" fillId="0" borderId="7" xfId="2" applyNumberFormat="1" applyFont="1" applyFill="1" applyBorder="1" applyAlignment="1" applyProtection="1">
      <alignment vertical="center"/>
    </xf>
    <xf numFmtId="0" fontId="20" fillId="0" borderId="0" xfId="1" applyFont="1" applyAlignment="1">
      <alignment vertical="center"/>
    </xf>
    <xf numFmtId="0" fontId="14" fillId="0" borderId="0" xfId="1" applyFont="1" applyAlignment="1">
      <alignment vertical="center"/>
    </xf>
    <xf numFmtId="3" fontId="20" fillId="0" borderId="1" xfId="1" applyNumberFormat="1" applyFont="1" applyBorder="1" applyAlignment="1">
      <alignment horizontal="center" vertical="center"/>
    </xf>
    <xf numFmtId="3" fontId="20" fillId="0" borderId="6" xfId="1" applyNumberFormat="1" applyFont="1" applyBorder="1" applyAlignment="1">
      <alignment horizontal="center" vertical="center"/>
    </xf>
    <xf numFmtId="4" fontId="6" fillId="0" borderId="6" xfId="2" applyNumberFormat="1" applyFont="1" applyFill="1" applyBorder="1" applyAlignment="1" applyProtection="1">
      <alignment horizontal="center" vertical="center"/>
    </xf>
    <xf numFmtId="165" fontId="14" fillId="0" borderId="6" xfId="1" applyNumberFormat="1" applyFont="1" applyBorder="1" applyAlignment="1">
      <alignment horizontal="right" vertical="center"/>
    </xf>
    <xf numFmtId="0" fontId="20" fillId="0" borderId="6" xfId="1" applyFont="1" applyBorder="1" applyAlignment="1">
      <alignment vertical="center"/>
    </xf>
    <xf numFmtId="165" fontId="14" fillId="0" borderId="7" xfId="1" applyNumberFormat="1" applyFont="1" applyBorder="1" applyAlignment="1">
      <alignment horizontal="right" vertical="center"/>
    </xf>
    <xf numFmtId="1" fontId="14" fillId="0" borderId="6" xfId="1" applyNumberFormat="1" applyFont="1" applyBorder="1" applyAlignment="1">
      <alignment horizontal="center" vertical="center"/>
    </xf>
    <xf numFmtId="2" fontId="14" fillId="0" borderId="6" xfId="1" applyNumberFormat="1" applyFont="1" applyBorder="1" applyAlignment="1">
      <alignment horizontal="right" vertical="center"/>
    </xf>
    <xf numFmtId="3" fontId="20" fillId="0" borderId="1" xfId="1" applyNumberFormat="1" applyFont="1" applyBorder="1" applyAlignment="1">
      <alignment vertical="center"/>
    </xf>
    <xf numFmtId="3" fontId="20" fillId="0" borderId="6" xfId="1" applyNumberFormat="1" applyFont="1" applyBorder="1" applyAlignment="1">
      <alignment vertical="center"/>
    </xf>
    <xf numFmtId="0" fontId="20" fillId="0" borderId="1" xfId="1" applyFont="1" applyBorder="1" applyAlignment="1">
      <alignment vertical="center"/>
    </xf>
    <xf numFmtId="0" fontId="23" fillId="0" borderId="0" xfId="1" applyFont="1" applyAlignment="1">
      <alignment vertical="center"/>
    </xf>
    <xf numFmtId="3" fontId="20" fillId="0" borderId="9" xfId="1" applyNumberFormat="1" applyFont="1" applyBorder="1" applyAlignment="1">
      <alignment horizontal="center" vertical="center"/>
    </xf>
    <xf numFmtId="3" fontId="20" fillId="0" borderId="0" xfId="1" applyNumberFormat="1" applyFont="1" applyAlignment="1">
      <alignment horizontal="center" vertical="center"/>
    </xf>
    <xf numFmtId="165" fontId="14" fillId="0" borderId="0" xfId="1" applyNumberFormat="1" applyFont="1" applyAlignment="1">
      <alignment horizontal="right" vertical="center"/>
    </xf>
    <xf numFmtId="1" fontId="14" fillId="0" borderId="0" xfId="1" applyNumberFormat="1" applyFont="1" applyAlignment="1">
      <alignment horizontal="center" vertical="center"/>
    </xf>
    <xf numFmtId="2" fontId="14" fillId="0" borderId="0" xfId="1" applyNumberFormat="1" applyFont="1" applyAlignment="1">
      <alignment horizontal="right" vertical="center"/>
    </xf>
    <xf numFmtId="3" fontId="20" fillId="0" borderId="0" xfId="1" applyNumberFormat="1" applyFont="1" applyAlignment="1">
      <alignment vertical="center"/>
    </xf>
    <xf numFmtId="0" fontId="21" fillId="0" borderId="0" xfId="1" applyFont="1" applyAlignment="1">
      <alignment horizontal="center" vertical="center"/>
    </xf>
    <xf numFmtId="3" fontId="22" fillId="0" borderId="0" xfId="1" applyNumberFormat="1" applyFont="1" applyAlignment="1">
      <alignment horizontal="center" vertical="center"/>
    </xf>
    <xf numFmtId="4" fontId="22" fillId="0" borderId="0" xfId="1" applyNumberFormat="1" applyFont="1" applyAlignment="1">
      <alignment horizontal="center" vertical="center"/>
    </xf>
    <xf numFmtId="10" fontId="14" fillId="0" borderId="0" xfId="1" applyNumberFormat="1" applyFont="1" applyAlignment="1">
      <alignment horizontal="right" vertical="center"/>
    </xf>
    <xf numFmtId="0" fontId="7" fillId="13" borderId="1" xfId="1" applyFont="1" applyFill="1" applyBorder="1" applyAlignment="1">
      <alignment vertical="center"/>
    </xf>
    <xf numFmtId="0" fontId="7" fillId="13" borderId="2" xfId="1" applyFont="1" applyFill="1" applyBorder="1" applyAlignment="1">
      <alignment horizontal="left" vertical="center"/>
    </xf>
    <xf numFmtId="3" fontId="5" fillId="0" borderId="0" xfId="1" applyNumberFormat="1" applyAlignment="1">
      <alignment horizontal="center" vertical="center"/>
    </xf>
    <xf numFmtId="0" fontId="5" fillId="0" borderId="0" xfId="1" applyAlignment="1">
      <alignment horizontal="center" vertical="center"/>
    </xf>
    <xf numFmtId="2" fontId="5" fillId="0" borderId="0" xfId="1" applyNumberFormat="1" applyAlignment="1">
      <alignment vertical="center"/>
    </xf>
    <xf numFmtId="0" fontId="7" fillId="21" borderId="2" xfId="1" applyFont="1" applyFill="1" applyBorder="1" applyAlignment="1">
      <alignment vertical="center"/>
    </xf>
    <xf numFmtId="165" fontId="15" fillId="21" borderId="2" xfId="1" applyNumberFormat="1" applyFont="1" applyFill="1" applyBorder="1" applyAlignment="1">
      <alignment horizontal="right" vertical="center"/>
    </xf>
    <xf numFmtId="1" fontId="5" fillId="0" borderId="25" xfId="1" applyNumberFormat="1" applyBorder="1" applyAlignment="1">
      <alignment horizontal="center" vertical="center"/>
    </xf>
    <xf numFmtId="0" fontId="5" fillId="0" borderId="47" xfId="1" applyBorder="1" applyAlignment="1">
      <alignment vertical="center"/>
    </xf>
    <xf numFmtId="3" fontId="6" fillId="0" borderId="0" xfId="1" applyNumberFormat="1" applyFont="1" applyAlignment="1">
      <alignment horizontal="center" vertical="center"/>
    </xf>
    <xf numFmtId="0" fontId="15" fillId="15" borderId="1" xfId="1" applyFont="1" applyFill="1" applyBorder="1" applyAlignment="1">
      <alignment horizontal="left" vertical="center" wrapText="1"/>
    </xf>
    <xf numFmtId="165" fontId="15" fillId="20" borderId="2" xfId="1" applyNumberFormat="1" applyFont="1" applyFill="1" applyBorder="1" applyAlignment="1">
      <alignment vertical="center"/>
    </xf>
    <xf numFmtId="0" fontId="5" fillId="0" borderId="25" xfId="1" applyBorder="1" applyAlignment="1">
      <alignment horizontal="center" vertical="center"/>
    </xf>
    <xf numFmtId="0" fontId="6" fillId="0" borderId="0" xfId="1" applyFont="1" applyAlignment="1">
      <alignment vertical="center"/>
    </xf>
    <xf numFmtId="0" fontId="5" fillId="0" borderId="9" xfId="1" applyBorder="1" applyAlignment="1">
      <alignment vertical="center"/>
    </xf>
    <xf numFmtId="0" fontId="5" fillId="0" borderId="0" xfId="1"/>
    <xf numFmtId="2" fontId="5" fillId="0" borderId="0" xfId="1" applyNumberFormat="1" applyAlignment="1">
      <alignment horizontal="center" vertical="center"/>
    </xf>
    <xf numFmtId="10" fontId="3" fillId="17" borderId="4" xfId="0" quotePrefix="1" applyNumberFormat="1" applyFont="1" applyFill="1" applyBorder="1" applyProtection="1">
      <protection locked="0"/>
    </xf>
    <xf numFmtId="4" fontId="3" fillId="17" borderId="0" xfId="0" applyNumberFormat="1" applyFont="1" applyFill="1" applyProtection="1">
      <protection locked="0"/>
    </xf>
    <xf numFmtId="0" fontId="0" fillId="12" borderId="0" xfId="0" applyFill="1" applyAlignment="1">
      <alignment horizontal="center" vertical="center"/>
    </xf>
    <xf numFmtId="4" fontId="0" fillId="12" borderId="0" xfId="0" applyNumberFormat="1" applyFill="1" applyAlignment="1">
      <alignment horizontal="center" vertical="center"/>
    </xf>
    <xf numFmtId="0" fontId="2" fillId="12" borderId="0" xfId="0" applyFont="1" applyFill="1" applyAlignment="1">
      <alignment horizontal="center" vertical="center"/>
    </xf>
    <xf numFmtId="0" fontId="25" fillId="12" borderId="0" xfId="0" applyFont="1" applyFill="1" applyAlignment="1">
      <alignment horizontal="center" vertical="center"/>
    </xf>
    <xf numFmtId="0" fontId="3" fillId="16" borderId="0" xfId="0" applyFont="1" applyFill="1" applyAlignment="1">
      <alignment horizontal="left" vertical="center"/>
    </xf>
    <xf numFmtId="49" fontId="3" fillId="16" borderId="0" xfId="0" applyNumberFormat="1" applyFont="1" applyFill="1" applyAlignment="1">
      <alignment horizontal="left" vertical="center" wrapText="1"/>
    </xf>
    <xf numFmtId="0" fontId="27" fillId="0" borderId="0" xfId="0" applyFont="1" applyAlignment="1">
      <alignment horizontal="left" vertical="center" wrapText="1"/>
    </xf>
    <xf numFmtId="4" fontId="28" fillId="0" borderId="0" xfId="0" applyNumberFormat="1" applyFont="1"/>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xf numFmtId="0" fontId="7" fillId="0" borderId="1" xfId="1" applyFont="1" applyBorder="1" applyAlignment="1">
      <alignment horizontal="center" vertical="center"/>
    </xf>
    <xf numFmtId="0" fontId="7" fillId="0" borderId="6" xfId="1" applyFont="1" applyBorder="1" applyAlignment="1">
      <alignment horizontal="center" vertical="center"/>
    </xf>
    <xf numFmtId="0" fontId="7" fillId="0" borderId="7" xfId="1" applyFont="1" applyBorder="1" applyAlignment="1">
      <alignment horizontal="center" vertical="center"/>
    </xf>
    <xf numFmtId="0" fontId="7" fillId="14" borderId="0" xfId="1" applyFont="1" applyFill="1" applyAlignment="1">
      <alignment horizontal="center" vertical="center"/>
    </xf>
    <xf numFmtId="0" fontId="7" fillId="0" borderId="54" xfId="1" applyFont="1" applyBorder="1" applyAlignment="1">
      <alignment horizontal="center" vertical="center"/>
    </xf>
    <xf numFmtId="0" fontId="7" fillId="0" borderId="47" xfId="1" applyFont="1" applyBorder="1" applyAlignment="1">
      <alignment horizontal="center" vertical="center"/>
    </xf>
    <xf numFmtId="0" fontId="10" fillId="0" borderId="13" xfId="1" applyFont="1" applyBorder="1" applyAlignment="1">
      <alignment horizontal="right" vertical="center"/>
    </xf>
    <xf numFmtId="0" fontId="10" fillId="0" borderId="6" xfId="1" applyFont="1" applyBorder="1" applyAlignment="1">
      <alignment horizontal="right" vertical="center"/>
    </xf>
    <xf numFmtId="0" fontId="6" fillId="0" borderId="0" xfId="1" applyFont="1" applyAlignment="1">
      <alignment horizontal="left" vertical="center" wrapText="1"/>
    </xf>
    <xf numFmtId="0" fontId="5" fillId="0" borderId="0" xfId="1" applyAlignment="1">
      <alignment horizontal="left" vertical="center" wrapText="1"/>
    </xf>
    <xf numFmtId="0" fontId="7" fillId="14" borderId="3" xfId="1" applyFont="1" applyFill="1" applyBorder="1" applyAlignment="1">
      <alignment horizontal="center" vertical="center" textRotation="45" wrapText="1"/>
    </xf>
    <xf numFmtId="0" fontId="7" fillId="14" borderId="42" xfId="1" applyFont="1" applyFill="1" applyBorder="1" applyAlignment="1">
      <alignment horizontal="center" vertical="center" textRotation="45" wrapText="1"/>
    </xf>
    <xf numFmtId="0" fontId="7" fillId="14" borderId="10" xfId="1" applyFont="1" applyFill="1" applyBorder="1" applyAlignment="1">
      <alignment horizontal="center" vertical="center" textRotation="45" wrapText="1"/>
    </xf>
    <xf numFmtId="0" fontId="10" fillId="0" borderId="64" xfId="1" applyFont="1" applyBorder="1" applyAlignment="1">
      <alignment horizontal="right" vertical="center"/>
    </xf>
    <xf numFmtId="0" fontId="10" fillId="0" borderId="47" xfId="1" applyFont="1" applyBorder="1" applyAlignment="1">
      <alignment horizontal="right" vertical="center"/>
    </xf>
    <xf numFmtId="0" fontId="10" fillId="0" borderId="66" xfId="1" applyFont="1" applyBorder="1" applyAlignment="1">
      <alignment horizontal="right" vertical="center"/>
    </xf>
    <xf numFmtId="0" fontId="7" fillId="14" borderId="3" xfId="1" applyFont="1" applyFill="1" applyBorder="1" applyAlignment="1">
      <alignment horizontal="center" vertical="center" textRotation="45"/>
    </xf>
    <xf numFmtId="0" fontId="7" fillId="14" borderId="42" xfId="1" applyFont="1" applyFill="1" applyBorder="1" applyAlignment="1">
      <alignment horizontal="center" vertical="center" textRotation="45"/>
    </xf>
    <xf numFmtId="0" fontId="7" fillId="14" borderId="10" xfId="1" applyFont="1" applyFill="1" applyBorder="1" applyAlignment="1">
      <alignment horizontal="center" vertical="center" textRotation="45"/>
    </xf>
  </cellXfs>
  <cellStyles count="6">
    <cellStyle name="Millares 2" xfId="5" xr:uid="{779960C9-85FA-409A-9513-CE35CC966730}"/>
    <cellStyle name="Millares_Proforma-Certificados BLOQUE A JUNIO 2012" xfId="2" xr:uid="{61187749-F5A6-4DA8-8A50-D17C2F76835D}"/>
    <cellStyle name="Normal" xfId="0" builtinId="0"/>
    <cellStyle name="Normal 2" xfId="1" xr:uid="{89BAD5E0-8D3D-424F-9A5D-0721A04A9C77}"/>
    <cellStyle name="Normal_12 Diciembre 2012 Proforma Bloque A" xfId="3" xr:uid="{E907D080-2ED3-4782-89A4-0C2E2E2450D9}"/>
    <cellStyle name="Normal_Proforma tipo" xfId="4" xr:uid="{16C650EE-018B-4DA1-832C-8A25DD9E62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67217</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p02524\Desktop\prop.%20de%20contrataci&#243;n\GASTO\2024\SMCC\Certo%20NC%20Limpiezas%20MM\LOTE_2_TABLA_OPERACIONES_V4_26_30.XLSX" TargetMode="External"/><Relationship Id="rId1" Type="http://schemas.openxmlformats.org/officeDocument/2006/relationships/externalLinkPath" Target="/Users/p02524/Desktop/prop.%20de%20contrataci&#243;n/GASTO/2024/SMCC/Certo%20NC%20Limpiezas%20MM/LOTE_2_TABLA_OPERACIONES_V4_26_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MPORTE DE ADJUDICACIÓN"/>
      <sheetName val="PROPUESTA LOTE 2"/>
      <sheetName val="PLANIF_MENSUAL_INVIERNO"/>
    </sheetNames>
    <sheetDataSet>
      <sheetData sheetId="0" refreshError="1"/>
      <sheetData sheetId="1" refreshError="1"/>
      <sheetData sheetId="2">
        <row r="8">
          <cell r="AE8">
            <v>435</v>
          </cell>
          <cell r="AK8">
            <v>31518</v>
          </cell>
        </row>
        <row r="9">
          <cell r="AE9">
            <v>288</v>
          </cell>
          <cell r="AK9">
            <v>17568</v>
          </cell>
        </row>
        <row r="10">
          <cell r="AE10">
            <v>252</v>
          </cell>
          <cell r="AK10">
            <v>26352</v>
          </cell>
        </row>
        <row r="11">
          <cell r="AE11">
            <v>224.99999999999997</v>
          </cell>
          <cell r="AK11">
            <v>19671.428571428572</v>
          </cell>
        </row>
        <row r="15">
          <cell r="AE15">
            <v>675.00000000000011</v>
          </cell>
          <cell r="AF15">
            <v>337.50000000000006</v>
          </cell>
          <cell r="AK15">
            <v>48437.999999999993</v>
          </cell>
        </row>
        <row r="16">
          <cell r="AE16">
            <v>78.75</v>
          </cell>
          <cell r="AK16">
            <v>6115.5</v>
          </cell>
        </row>
      </sheetData>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L220"/>
  <sheetViews>
    <sheetView tabSelected="1" zoomScale="85" zoomScaleNormal="85" workbookViewId="0">
      <selection activeCell="E6" sqref="E6:G6"/>
    </sheetView>
  </sheetViews>
  <sheetFormatPr baseColWidth="10" defaultColWidth="11.42578125" defaultRowHeight="15" x14ac:dyDescent="0.25"/>
  <cols>
    <col min="1" max="1" width="28.28515625" customWidth="1"/>
    <col min="2" max="2" width="10.42578125" customWidth="1"/>
    <col min="3" max="3" width="42.5703125" customWidth="1"/>
    <col min="4" max="4" width="18.7109375" customWidth="1"/>
    <col min="5" max="5" width="27.7109375" style="52" customWidth="1"/>
    <col min="6" max="6" width="18" style="52" bestFit="1" customWidth="1"/>
    <col min="7" max="7" width="22.5703125" style="53" customWidth="1"/>
    <col min="8" max="8" width="19.7109375" bestFit="1" customWidth="1"/>
    <col min="9" max="9" width="18.7109375" style="52" customWidth="1"/>
    <col min="10" max="10" width="15.28515625" style="462" customWidth="1"/>
    <col min="11" max="11" width="37.7109375" customWidth="1"/>
  </cols>
  <sheetData>
    <row r="1" spans="1:12" ht="20.45" customHeight="1" thickBot="1" x14ac:dyDescent="0.3">
      <c r="D1" s="51" t="s">
        <v>0</v>
      </c>
      <c r="H1" s="51" t="s">
        <v>1</v>
      </c>
    </row>
    <row r="2" spans="1:12" ht="15.75" thickBot="1" x14ac:dyDescent="0.3">
      <c r="A2" s="54" t="s">
        <v>2</v>
      </c>
      <c r="B2" s="55">
        <v>2</v>
      </c>
    </row>
    <row r="3" spans="1:12" ht="15" customHeight="1" thickBot="1" x14ac:dyDescent="0.3">
      <c r="A3" s="472" t="s">
        <v>3</v>
      </c>
      <c r="B3" s="473"/>
      <c r="C3" s="474"/>
      <c r="D3" s="56">
        <f>+D6-D5-D4</f>
        <v>11137674.779999999</v>
      </c>
      <c r="E3" s="472" t="s">
        <v>4</v>
      </c>
      <c r="F3" s="473"/>
      <c r="G3" s="474"/>
      <c r="H3" s="56">
        <f>+H6-H5-H4</f>
        <v>0</v>
      </c>
    </row>
    <row r="4" spans="1:12" ht="15" customHeight="1" thickBot="1" x14ac:dyDescent="0.3">
      <c r="A4" s="57" t="s">
        <v>5</v>
      </c>
      <c r="B4" s="58">
        <v>0.06</v>
      </c>
      <c r="C4" s="59" t="s">
        <v>6</v>
      </c>
      <c r="D4" s="60">
        <f>ROUND((B4*(D6/(1+B4+B5))),2)</f>
        <v>668260.49</v>
      </c>
      <c r="E4" s="61" t="s">
        <v>7</v>
      </c>
      <c r="F4" s="460">
        <v>0</v>
      </c>
      <c r="G4" s="59" t="s">
        <v>6</v>
      </c>
      <c r="H4" s="60">
        <f>ROUND((F4*(H6/(1+F4+F5))),2)</f>
        <v>0</v>
      </c>
    </row>
    <row r="5" spans="1:12" ht="15.75" thickBot="1" x14ac:dyDescent="0.3">
      <c r="A5" s="57" t="s">
        <v>8</v>
      </c>
      <c r="B5" s="58">
        <v>0.09</v>
      </c>
      <c r="C5" s="59" t="s">
        <v>9</v>
      </c>
      <c r="D5" s="60">
        <f>ROUND((B5*(D6/(1+B4+B5))),2)</f>
        <v>1002390.73</v>
      </c>
      <c r="E5" s="61" t="s">
        <v>10</v>
      </c>
      <c r="F5" s="460">
        <v>0</v>
      </c>
      <c r="G5" s="59" t="s">
        <v>9</v>
      </c>
      <c r="H5" s="60">
        <f>ROUND((F5*(H6/(1+F4+F5))),2)</f>
        <v>0</v>
      </c>
    </row>
    <row r="6" spans="1:12" ht="15.75" thickBot="1" x14ac:dyDescent="0.3">
      <c r="A6" s="475" t="s">
        <v>11</v>
      </c>
      <c r="B6" s="476"/>
      <c r="C6" s="477"/>
      <c r="D6" s="60">
        <f>SUM(G:G)</f>
        <v>12808326</v>
      </c>
      <c r="E6" s="475" t="s">
        <v>12</v>
      </c>
      <c r="F6" s="476"/>
      <c r="G6" s="477"/>
      <c r="H6" s="60">
        <f>+SUM(I13:I225)</f>
        <v>0</v>
      </c>
      <c r="J6" s="463"/>
      <c r="K6" s="52"/>
    </row>
    <row r="7" spans="1:12" ht="15.75" thickBot="1" x14ac:dyDescent="0.3">
      <c r="A7" s="62" t="s">
        <v>13</v>
      </c>
      <c r="B7" s="63">
        <v>0.21</v>
      </c>
      <c r="C7" s="59" t="s">
        <v>14</v>
      </c>
      <c r="D7" s="60">
        <f>ROUND($D$6*B7,2)</f>
        <v>2689748.46</v>
      </c>
      <c r="E7" s="64" t="s">
        <v>13</v>
      </c>
      <c r="F7" s="65">
        <f>B7</f>
        <v>0.21</v>
      </c>
      <c r="G7" s="59" t="s">
        <v>14</v>
      </c>
      <c r="H7" s="60">
        <f>ROUND($H$6*F7,2)</f>
        <v>0</v>
      </c>
    </row>
    <row r="8" spans="1:12" ht="15.75" thickBot="1" x14ac:dyDescent="0.3">
      <c r="A8" s="478" t="s">
        <v>15</v>
      </c>
      <c r="B8" s="479"/>
      <c r="C8" s="480"/>
      <c r="D8" s="66">
        <f>SUM(D6:D7)</f>
        <v>15498074.460000001</v>
      </c>
      <c r="E8" s="478" t="s">
        <v>16</v>
      </c>
      <c r="F8" s="479"/>
      <c r="G8" s="480"/>
      <c r="H8" s="66">
        <f>SUM(H6:H7)</f>
        <v>0</v>
      </c>
    </row>
    <row r="9" spans="1:12" ht="15.75" thickBot="1" x14ac:dyDescent="0.3"/>
    <row r="10" spans="1:12" ht="15.75" thickBot="1" x14ac:dyDescent="0.3">
      <c r="A10" s="67"/>
      <c r="F10" s="470" t="s">
        <v>17</v>
      </c>
      <c r="G10" s="471"/>
      <c r="H10" s="470" t="s">
        <v>18</v>
      </c>
      <c r="I10" s="471"/>
    </row>
    <row r="11" spans="1:12" x14ac:dyDescent="0.25">
      <c r="A11" s="68" t="s">
        <v>19</v>
      </c>
      <c r="B11" s="68" t="s">
        <v>20</v>
      </c>
      <c r="C11" s="68" t="s">
        <v>21</v>
      </c>
      <c r="D11" s="68" t="s">
        <v>22</v>
      </c>
      <c r="E11" s="69" t="s">
        <v>23</v>
      </c>
      <c r="F11" s="69" t="s">
        <v>24</v>
      </c>
      <c r="G11" s="68" t="s">
        <v>25</v>
      </c>
      <c r="H11" s="68" t="s">
        <v>26</v>
      </c>
      <c r="I11" s="68" t="s">
        <v>27</v>
      </c>
      <c r="J11" s="464" t="s">
        <v>178</v>
      </c>
    </row>
    <row r="12" spans="1:12" x14ac:dyDescent="0.25">
      <c r="A12" s="37" t="s">
        <v>28</v>
      </c>
      <c r="B12" s="37"/>
      <c r="C12" s="70" t="s">
        <v>120</v>
      </c>
      <c r="D12" s="37"/>
      <c r="E12" s="71"/>
      <c r="F12" s="71"/>
      <c r="G12" s="72"/>
      <c r="H12" s="71"/>
      <c r="I12" s="73"/>
    </row>
    <row r="13" spans="1:12" x14ac:dyDescent="0.25">
      <c r="A13" s="37" t="s">
        <v>29</v>
      </c>
      <c r="B13" s="37"/>
      <c r="C13" s="74" t="s">
        <v>121</v>
      </c>
      <c r="D13" s="37"/>
      <c r="E13" s="71"/>
      <c r="F13" s="71"/>
      <c r="G13" s="72"/>
      <c r="I13" s="73"/>
    </row>
    <row r="14" spans="1:12" x14ac:dyDescent="0.25">
      <c r="A14" s="37" t="s">
        <v>30</v>
      </c>
      <c r="B14" s="75"/>
      <c r="C14" s="76" t="s">
        <v>38</v>
      </c>
      <c r="D14" s="37"/>
      <c r="E14" s="71"/>
      <c r="F14" s="71"/>
      <c r="G14" s="72"/>
      <c r="H14" s="71"/>
      <c r="I14" s="73"/>
    </row>
    <row r="15" spans="1:12" x14ac:dyDescent="0.25">
      <c r="A15" s="37"/>
      <c r="B15" s="75" t="s">
        <v>40</v>
      </c>
      <c r="C15" s="75" t="s">
        <v>39</v>
      </c>
      <c r="D15" s="77" t="s">
        <v>106</v>
      </c>
      <c r="E15" s="71">
        <v>31203</v>
      </c>
      <c r="F15" s="71">
        <v>9</v>
      </c>
      <c r="G15" s="72">
        <f>ROUND(E15*F15,2)</f>
        <v>280827</v>
      </c>
      <c r="H15" s="461"/>
      <c r="I15" s="73">
        <f>ROUND(E15*H15,2)</f>
        <v>0</v>
      </c>
      <c r="J15" s="462">
        <v>2080</v>
      </c>
      <c r="K15" s="78" t="str">
        <f t="shared" ref="K15:K79" si="0">+IF(H15&gt;F15,"Importe superior a importe máximo","")</f>
        <v/>
      </c>
      <c r="L15" s="52"/>
    </row>
    <row r="16" spans="1:12" x14ac:dyDescent="0.25">
      <c r="A16" s="37"/>
      <c r="B16" s="75" t="s">
        <v>42</v>
      </c>
      <c r="C16" s="75" t="s">
        <v>41</v>
      </c>
      <c r="D16" s="77" t="s">
        <v>106</v>
      </c>
      <c r="E16" s="71">
        <v>93507</v>
      </c>
      <c r="F16" s="71">
        <v>13</v>
      </c>
      <c r="G16" s="72">
        <f t="shared" ref="G16:G43" si="1">ROUND(E16*F16,2)</f>
        <v>1215591</v>
      </c>
      <c r="H16" s="461"/>
      <c r="I16" s="73">
        <f t="shared" ref="I16:I42" si="2">ROUND(E16*H16,2)</f>
        <v>0</v>
      </c>
      <c r="J16" s="462">
        <v>2080</v>
      </c>
      <c r="K16" s="78" t="str">
        <f t="shared" si="0"/>
        <v/>
      </c>
      <c r="L16" s="52"/>
    </row>
    <row r="17" spans="1:12" x14ac:dyDescent="0.25">
      <c r="A17" s="37"/>
      <c r="B17" s="75" t="s">
        <v>44</v>
      </c>
      <c r="C17" s="75" t="s">
        <v>43</v>
      </c>
      <c r="D17" s="77" t="s">
        <v>106</v>
      </c>
      <c r="E17" s="71">
        <v>7656</v>
      </c>
      <c r="F17" s="71">
        <v>20</v>
      </c>
      <c r="G17" s="72">
        <f t="shared" si="1"/>
        <v>153120</v>
      </c>
      <c r="H17" s="461"/>
      <c r="I17" s="73">
        <f t="shared" si="2"/>
        <v>0</v>
      </c>
      <c r="J17" s="462">
        <v>2080</v>
      </c>
      <c r="K17" s="78" t="str">
        <f t="shared" si="0"/>
        <v/>
      </c>
      <c r="L17" s="52"/>
    </row>
    <row r="18" spans="1:12" x14ac:dyDescent="0.25">
      <c r="A18" s="37"/>
      <c r="B18" s="75" t="s">
        <v>46</v>
      </c>
      <c r="C18" s="75" t="s">
        <v>45</v>
      </c>
      <c r="D18" s="77" t="s">
        <v>106</v>
      </c>
      <c r="E18" s="71">
        <v>11484</v>
      </c>
      <c r="F18" s="71">
        <v>8</v>
      </c>
      <c r="G18" s="72">
        <f t="shared" si="1"/>
        <v>91872</v>
      </c>
      <c r="H18" s="461"/>
      <c r="I18" s="73">
        <f t="shared" si="2"/>
        <v>0</v>
      </c>
      <c r="J18" s="462">
        <v>2080</v>
      </c>
      <c r="K18" s="78" t="str">
        <f t="shared" si="0"/>
        <v/>
      </c>
      <c r="L18" s="52"/>
    </row>
    <row r="19" spans="1:12" x14ac:dyDescent="0.25">
      <c r="A19" s="37"/>
      <c r="B19" s="75" t="s">
        <v>48</v>
      </c>
      <c r="C19" s="75" t="s">
        <v>47</v>
      </c>
      <c r="D19" s="77" t="s">
        <v>106</v>
      </c>
      <c r="E19" s="71">
        <v>9572</v>
      </c>
      <c r="F19" s="71">
        <v>25</v>
      </c>
      <c r="G19" s="72">
        <f t="shared" si="1"/>
        <v>239300</v>
      </c>
      <c r="H19" s="461"/>
      <c r="I19" s="73">
        <f t="shared" si="2"/>
        <v>0</v>
      </c>
      <c r="J19" s="462">
        <v>2080</v>
      </c>
      <c r="K19" s="78" t="str">
        <f t="shared" si="0"/>
        <v/>
      </c>
      <c r="L19" s="52"/>
    </row>
    <row r="20" spans="1:12" x14ac:dyDescent="0.25">
      <c r="A20" s="37"/>
      <c r="B20" s="75" t="s">
        <v>50</v>
      </c>
      <c r="C20" s="75" t="s">
        <v>49</v>
      </c>
      <c r="D20" s="77" t="s">
        <v>106</v>
      </c>
      <c r="E20" s="71">
        <v>576</v>
      </c>
      <c r="F20" s="71">
        <v>175</v>
      </c>
      <c r="G20" s="72">
        <f t="shared" si="1"/>
        <v>100800</v>
      </c>
      <c r="H20" s="461"/>
      <c r="I20" s="73">
        <f t="shared" si="2"/>
        <v>0</v>
      </c>
      <c r="J20" s="462">
        <v>2080</v>
      </c>
      <c r="K20" s="78" t="str">
        <f t="shared" si="0"/>
        <v/>
      </c>
      <c r="L20" s="52"/>
    </row>
    <row r="21" spans="1:12" x14ac:dyDescent="0.25">
      <c r="A21" s="37"/>
      <c r="B21" s="75" t="s">
        <v>137</v>
      </c>
      <c r="C21" s="75" t="s">
        <v>136</v>
      </c>
      <c r="D21" s="77" t="s">
        <v>106</v>
      </c>
      <c r="E21" s="71">
        <v>0</v>
      </c>
      <c r="F21" s="71">
        <v>0</v>
      </c>
      <c r="G21" s="72">
        <f t="shared" ref="G21" si="3">ROUND(E21*F21,2)</f>
        <v>0</v>
      </c>
      <c r="H21" s="71">
        <v>0</v>
      </c>
      <c r="I21" s="73">
        <f t="shared" ref="I21" si="4">ROUND(E21*H21,2)</f>
        <v>0</v>
      </c>
      <c r="J21" s="462">
        <v>2080</v>
      </c>
      <c r="K21" s="78" t="str">
        <f t="shared" si="0"/>
        <v/>
      </c>
      <c r="L21" s="52"/>
    </row>
    <row r="22" spans="1:12" x14ac:dyDescent="0.25">
      <c r="A22" s="37" t="s">
        <v>108</v>
      </c>
      <c r="B22" s="79"/>
      <c r="C22" s="80" t="s">
        <v>51</v>
      </c>
      <c r="D22" s="77"/>
      <c r="E22" s="71"/>
      <c r="F22" s="71"/>
      <c r="G22" s="72"/>
      <c r="H22" s="71"/>
      <c r="I22" s="73"/>
      <c r="J22" s="462">
        <v>2080</v>
      </c>
      <c r="K22" s="78" t="str">
        <f t="shared" si="0"/>
        <v/>
      </c>
      <c r="L22" s="52"/>
    </row>
    <row r="23" spans="1:12" x14ac:dyDescent="0.25">
      <c r="A23" s="37"/>
      <c r="B23" s="79" t="s">
        <v>53</v>
      </c>
      <c r="C23" s="79" t="s">
        <v>52</v>
      </c>
      <c r="D23" s="77" t="s">
        <v>106</v>
      </c>
      <c r="E23" s="71">
        <v>1152</v>
      </c>
      <c r="F23" s="71">
        <v>90</v>
      </c>
      <c r="G23" s="72">
        <f t="shared" si="1"/>
        <v>103680</v>
      </c>
      <c r="H23" s="461"/>
      <c r="I23" s="73">
        <f t="shared" si="2"/>
        <v>0</v>
      </c>
      <c r="J23" s="462">
        <v>2080</v>
      </c>
      <c r="K23" s="78" t="str">
        <f t="shared" si="0"/>
        <v/>
      </c>
      <c r="L23" s="52"/>
    </row>
    <row r="24" spans="1:12" x14ac:dyDescent="0.25">
      <c r="A24" s="37"/>
      <c r="B24" s="79" t="s">
        <v>55</v>
      </c>
      <c r="C24" s="79" t="s">
        <v>54</v>
      </c>
      <c r="D24" s="77" t="s">
        <v>106</v>
      </c>
      <c r="E24" s="71">
        <v>0</v>
      </c>
      <c r="F24" s="71">
        <v>0</v>
      </c>
      <c r="G24" s="72">
        <f t="shared" ref="G24" si="5">ROUND(E24*F24,2)</f>
        <v>0</v>
      </c>
      <c r="H24" s="71">
        <v>0</v>
      </c>
      <c r="I24" s="73">
        <f t="shared" si="2"/>
        <v>0</v>
      </c>
      <c r="J24" s="462">
        <v>2080</v>
      </c>
      <c r="K24" s="78" t="str">
        <f t="shared" si="0"/>
        <v/>
      </c>
      <c r="L24" s="52"/>
    </row>
    <row r="25" spans="1:12" x14ac:dyDescent="0.25">
      <c r="A25" s="37"/>
      <c r="B25" s="79" t="s">
        <v>57</v>
      </c>
      <c r="C25" s="79" t="s">
        <v>56</v>
      </c>
      <c r="D25" s="77" t="s">
        <v>106</v>
      </c>
      <c r="E25" s="71">
        <v>576</v>
      </c>
      <c r="F25" s="71">
        <v>80</v>
      </c>
      <c r="G25" s="72">
        <f t="shared" si="1"/>
        <v>46080</v>
      </c>
      <c r="H25" s="461"/>
      <c r="I25" s="73">
        <f t="shared" si="2"/>
        <v>0</v>
      </c>
      <c r="J25" s="462">
        <v>2080</v>
      </c>
      <c r="K25" s="78" t="str">
        <f t="shared" si="0"/>
        <v/>
      </c>
      <c r="L25" s="52"/>
    </row>
    <row r="26" spans="1:12" x14ac:dyDescent="0.25">
      <c r="A26" s="37"/>
      <c r="B26" s="79" t="s">
        <v>59</v>
      </c>
      <c r="C26" s="79" t="s">
        <v>58</v>
      </c>
      <c r="D26" s="77" t="s">
        <v>106</v>
      </c>
      <c r="E26" s="71">
        <v>240</v>
      </c>
      <c r="F26" s="71">
        <v>90</v>
      </c>
      <c r="G26" s="72">
        <f t="shared" si="1"/>
        <v>21600</v>
      </c>
      <c r="H26" s="461"/>
      <c r="I26" s="73">
        <f t="shared" si="2"/>
        <v>0</v>
      </c>
      <c r="J26" s="462">
        <v>2080</v>
      </c>
      <c r="K26" s="78" t="str">
        <f t="shared" si="0"/>
        <v/>
      </c>
      <c r="L26" s="52"/>
    </row>
    <row r="27" spans="1:12" x14ac:dyDescent="0.25">
      <c r="A27" s="37"/>
      <c r="B27" s="79" t="s">
        <v>61</v>
      </c>
      <c r="C27" s="79" t="s">
        <v>60</v>
      </c>
      <c r="D27" s="77" t="s">
        <v>106</v>
      </c>
      <c r="E27" s="71">
        <v>0</v>
      </c>
      <c r="F27" s="71">
        <v>0</v>
      </c>
      <c r="G27" s="72">
        <f t="shared" si="1"/>
        <v>0</v>
      </c>
      <c r="H27" s="71">
        <v>0</v>
      </c>
      <c r="I27" s="73">
        <f t="shared" si="2"/>
        <v>0</v>
      </c>
      <c r="J27" s="462">
        <v>2080</v>
      </c>
      <c r="K27" s="78" t="str">
        <f t="shared" si="0"/>
        <v/>
      </c>
      <c r="L27" s="52"/>
    </row>
    <row r="28" spans="1:12" x14ac:dyDescent="0.25">
      <c r="A28" s="37"/>
      <c r="B28" s="79" t="s">
        <v>63</v>
      </c>
      <c r="C28" s="79" t="s">
        <v>62</v>
      </c>
      <c r="D28" s="77" t="s">
        <v>106</v>
      </c>
      <c r="E28" s="71">
        <v>160</v>
      </c>
      <c r="F28" s="71">
        <v>50</v>
      </c>
      <c r="G28" s="72">
        <f t="shared" si="1"/>
        <v>8000</v>
      </c>
      <c r="H28" s="461"/>
      <c r="I28" s="73">
        <f t="shared" si="2"/>
        <v>0</v>
      </c>
      <c r="J28" s="462">
        <v>2080</v>
      </c>
      <c r="K28" s="78" t="str">
        <f t="shared" si="0"/>
        <v/>
      </c>
      <c r="L28" s="52"/>
    </row>
    <row r="29" spans="1:12" x14ac:dyDescent="0.25">
      <c r="A29" s="37"/>
      <c r="B29" s="79" t="s">
        <v>64</v>
      </c>
      <c r="C29" s="79" t="s">
        <v>140</v>
      </c>
      <c r="D29" s="77" t="s">
        <v>106</v>
      </c>
      <c r="E29" s="71">
        <v>160</v>
      </c>
      <c r="F29" s="71">
        <v>50</v>
      </c>
      <c r="G29" s="72">
        <f t="shared" si="1"/>
        <v>8000</v>
      </c>
      <c r="H29" s="461"/>
      <c r="I29" s="73">
        <f t="shared" si="2"/>
        <v>0</v>
      </c>
      <c r="J29" s="462">
        <v>2080</v>
      </c>
      <c r="K29" s="78" t="str">
        <f t="shared" si="0"/>
        <v/>
      </c>
      <c r="L29" s="52"/>
    </row>
    <row r="30" spans="1:12" ht="30" x14ac:dyDescent="0.25">
      <c r="A30" s="37"/>
      <c r="B30" s="79" t="s">
        <v>66</v>
      </c>
      <c r="C30" s="81" t="s">
        <v>65</v>
      </c>
      <c r="D30" s="77" t="s">
        <v>106</v>
      </c>
      <c r="E30" s="71">
        <v>240</v>
      </c>
      <c r="F30" s="71">
        <v>100</v>
      </c>
      <c r="G30" s="72">
        <f t="shared" si="1"/>
        <v>24000</v>
      </c>
      <c r="H30" s="461"/>
      <c r="I30" s="73">
        <f t="shared" si="2"/>
        <v>0</v>
      </c>
      <c r="J30" s="462">
        <v>2080</v>
      </c>
      <c r="K30" s="78" t="str">
        <f t="shared" si="0"/>
        <v/>
      </c>
      <c r="L30" s="52"/>
    </row>
    <row r="31" spans="1:12" ht="30" x14ac:dyDescent="0.25">
      <c r="A31" s="37"/>
      <c r="B31" s="79" t="s">
        <v>68</v>
      </c>
      <c r="C31" s="81" t="s">
        <v>67</v>
      </c>
      <c r="D31" s="77" t="s">
        <v>106</v>
      </c>
      <c r="E31" s="71">
        <v>224</v>
      </c>
      <c r="F31" s="71">
        <v>70</v>
      </c>
      <c r="G31" s="72">
        <f t="shared" si="1"/>
        <v>15680</v>
      </c>
      <c r="H31" s="461"/>
      <c r="I31" s="73">
        <f t="shared" si="2"/>
        <v>0</v>
      </c>
      <c r="J31" s="462">
        <v>2080</v>
      </c>
      <c r="K31" s="78" t="str">
        <f t="shared" si="0"/>
        <v/>
      </c>
      <c r="L31" s="52"/>
    </row>
    <row r="32" spans="1:12" x14ac:dyDescent="0.25">
      <c r="A32" s="37"/>
      <c r="B32" s="79" t="s">
        <v>70</v>
      </c>
      <c r="C32" s="79" t="s">
        <v>69</v>
      </c>
      <c r="D32" s="77" t="s">
        <v>106</v>
      </c>
      <c r="E32" s="71">
        <v>860</v>
      </c>
      <c r="F32" s="71">
        <v>50</v>
      </c>
      <c r="G32" s="72">
        <f t="shared" si="1"/>
        <v>43000</v>
      </c>
      <c r="H32" s="461"/>
      <c r="I32" s="73">
        <f t="shared" si="2"/>
        <v>0</v>
      </c>
      <c r="J32" s="462">
        <v>2080</v>
      </c>
      <c r="K32" s="78" t="str">
        <f t="shared" si="0"/>
        <v/>
      </c>
      <c r="L32" s="52"/>
    </row>
    <row r="33" spans="1:12" ht="30" x14ac:dyDescent="0.25">
      <c r="A33" s="37"/>
      <c r="B33" s="79" t="s">
        <v>72</v>
      </c>
      <c r="C33" s="81" t="s">
        <v>71</v>
      </c>
      <c r="D33" s="77" t="s">
        <v>106</v>
      </c>
      <c r="E33" s="71">
        <v>240</v>
      </c>
      <c r="F33" s="71">
        <v>40</v>
      </c>
      <c r="G33" s="72">
        <f t="shared" si="1"/>
        <v>9600</v>
      </c>
      <c r="H33" s="461"/>
      <c r="I33" s="73">
        <f t="shared" si="2"/>
        <v>0</v>
      </c>
      <c r="J33" s="462">
        <v>2080</v>
      </c>
      <c r="K33" s="78" t="str">
        <f t="shared" si="0"/>
        <v/>
      </c>
      <c r="L33" s="52"/>
    </row>
    <row r="34" spans="1:12" x14ac:dyDescent="0.25">
      <c r="A34" s="37"/>
      <c r="B34" s="79" t="s">
        <v>73</v>
      </c>
      <c r="C34" s="79" t="s">
        <v>141</v>
      </c>
      <c r="D34" s="77" t="s">
        <v>106</v>
      </c>
      <c r="E34" s="71">
        <v>576</v>
      </c>
      <c r="F34" s="71">
        <v>50</v>
      </c>
      <c r="G34" s="72">
        <f t="shared" si="1"/>
        <v>28800</v>
      </c>
      <c r="H34" s="461"/>
      <c r="I34" s="73">
        <f t="shared" si="2"/>
        <v>0</v>
      </c>
      <c r="J34" s="462">
        <v>2080</v>
      </c>
      <c r="K34" s="78" t="str">
        <f t="shared" si="0"/>
        <v/>
      </c>
      <c r="L34" s="52"/>
    </row>
    <row r="35" spans="1:12" x14ac:dyDescent="0.25">
      <c r="A35" s="37"/>
      <c r="B35" s="79" t="s">
        <v>75</v>
      </c>
      <c r="C35" s="79" t="s">
        <v>74</v>
      </c>
      <c r="D35" s="77" t="s">
        <v>106</v>
      </c>
      <c r="E35" s="71">
        <v>120</v>
      </c>
      <c r="F35" s="71">
        <v>20</v>
      </c>
      <c r="G35" s="72">
        <f t="shared" si="1"/>
        <v>2400</v>
      </c>
      <c r="H35" s="461"/>
      <c r="I35" s="73">
        <f t="shared" si="2"/>
        <v>0</v>
      </c>
      <c r="J35" s="462">
        <v>2080</v>
      </c>
      <c r="K35" s="78" t="str">
        <f t="shared" si="0"/>
        <v/>
      </c>
      <c r="L35" s="52"/>
    </row>
    <row r="36" spans="1:12" x14ac:dyDescent="0.25">
      <c r="A36" s="37"/>
      <c r="B36" s="79" t="s">
        <v>143</v>
      </c>
      <c r="C36" s="79" t="s">
        <v>142</v>
      </c>
      <c r="D36" s="77" t="s">
        <v>106</v>
      </c>
      <c r="E36" s="71">
        <v>0</v>
      </c>
      <c r="F36" s="71">
        <v>0</v>
      </c>
      <c r="G36" s="72">
        <f t="shared" ref="G36" si="6">ROUND(E36*F36,2)</f>
        <v>0</v>
      </c>
      <c r="H36" s="71">
        <v>0</v>
      </c>
      <c r="I36" s="73">
        <f t="shared" si="2"/>
        <v>0</v>
      </c>
      <c r="J36" s="462">
        <v>2080</v>
      </c>
      <c r="K36" s="78" t="str">
        <f t="shared" si="0"/>
        <v/>
      </c>
      <c r="L36" s="52"/>
    </row>
    <row r="37" spans="1:12" x14ac:dyDescent="0.25">
      <c r="A37" s="37"/>
      <c r="B37" s="79" t="s">
        <v>77</v>
      </c>
      <c r="C37" s="79" t="s">
        <v>76</v>
      </c>
      <c r="D37" s="77" t="s">
        <v>106</v>
      </c>
      <c r="E37" s="71">
        <v>5600</v>
      </c>
      <c r="F37" s="71">
        <v>25</v>
      </c>
      <c r="G37" s="72">
        <f t="shared" si="1"/>
        <v>140000</v>
      </c>
      <c r="H37" s="461"/>
      <c r="I37" s="73">
        <f t="shared" si="2"/>
        <v>0</v>
      </c>
      <c r="J37" s="462">
        <v>2080</v>
      </c>
      <c r="K37" s="78" t="str">
        <f t="shared" si="0"/>
        <v/>
      </c>
      <c r="L37" s="52"/>
    </row>
    <row r="38" spans="1:12" x14ac:dyDescent="0.25">
      <c r="A38" s="37"/>
      <c r="B38" s="79" t="s">
        <v>79</v>
      </c>
      <c r="C38" s="79" t="s">
        <v>78</v>
      </c>
      <c r="D38" s="77" t="s">
        <v>106</v>
      </c>
      <c r="E38" s="71">
        <v>0</v>
      </c>
      <c r="F38" s="71">
        <v>0</v>
      </c>
      <c r="G38" s="72">
        <f t="shared" ref="G38" si="7">ROUND(E38*F38,2)</f>
        <v>0</v>
      </c>
      <c r="H38" s="71">
        <v>0</v>
      </c>
      <c r="I38" s="73">
        <f t="shared" ref="I38" si="8">ROUND(E38*H38,2)</f>
        <v>0</v>
      </c>
      <c r="J38" s="462">
        <v>2080</v>
      </c>
      <c r="K38" s="78" t="str">
        <f t="shared" si="0"/>
        <v/>
      </c>
      <c r="L38" s="52"/>
    </row>
    <row r="39" spans="1:12" x14ac:dyDescent="0.25">
      <c r="A39" s="37"/>
      <c r="B39" s="79" t="s">
        <v>80</v>
      </c>
      <c r="C39" s="79" t="s">
        <v>152</v>
      </c>
      <c r="D39" s="77" t="s">
        <v>106</v>
      </c>
      <c r="E39" s="71">
        <v>4800</v>
      </c>
      <c r="F39" s="71">
        <v>15</v>
      </c>
      <c r="G39" s="72">
        <f t="shared" si="1"/>
        <v>72000</v>
      </c>
      <c r="H39" s="461"/>
      <c r="I39" s="73">
        <f t="shared" si="2"/>
        <v>0</v>
      </c>
      <c r="J39" s="462">
        <v>2080</v>
      </c>
      <c r="K39" s="78" t="str">
        <f t="shared" si="0"/>
        <v/>
      </c>
      <c r="L39" s="52"/>
    </row>
    <row r="40" spans="1:12" x14ac:dyDescent="0.25">
      <c r="A40" s="37" t="s">
        <v>109</v>
      </c>
      <c r="B40" s="82"/>
      <c r="C40" s="83" t="s">
        <v>190</v>
      </c>
      <c r="D40" s="77"/>
      <c r="E40" s="71"/>
      <c r="F40" s="71"/>
      <c r="G40" s="72"/>
      <c r="H40" s="71"/>
      <c r="I40" s="73"/>
      <c r="J40" s="462">
        <v>2080</v>
      </c>
      <c r="K40" s="78" t="str">
        <f t="shared" si="0"/>
        <v/>
      </c>
      <c r="L40" s="52"/>
    </row>
    <row r="41" spans="1:12" x14ac:dyDescent="0.25">
      <c r="A41" s="37"/>
      <c r="B41" s="82" t="s">
        <v>83</v>
      </c>
      <c r="C41" s="82" t="s">
        <v>82</v>
      </c>
      <c r="D41" s="77" t="s">
        <v>106</v>
      </c>
      <c r="E41" s="71">
        <v>0</v>
      </c>
      <c r="F41" s="71">
        <v>0</v>
      </c>
      <c r="G41" s="72">
        <f t="shared" ref="G41" si="9">ROUND(E41*F41,2)</f>
        <v>0</v>
      </c>
      <c r="H41" s="71">
        <v>0</v>
      </c>
      <c r="I41" s="73">
        <f t="shared" ref="I41" si="10">ROUND(E41*H41,2)</f>
        <v>0</v>
      </c>
      <c r="J41" s="462">
        <v>2080</v>
      </c>
      <c r="K41" s="78" t="str">
        <f t="shared" si="0"/>
        <v/>
      </c>
      <c r="L41" s="52"/>
    </row>
    <row r="42" spans="1:12" x14ac:dyDescent="0.25">
      <c r="A42" s="37"/>
      <c r="B42" s="82" t="s">
        <v>85</v>
      </c>
      <c r="C42" s="82" t="s">
        <v>84</v>
      </c>
      <c r="D42" s="77" t="s">
        <v>106</v>
      </c>
      <c r="E42" s="71">
        <v>576</v>
      </c>
      <c r="F42" s="71">
        <v>70</v>
      </c>
      <c r="G42" s="72">
        <f t="shared" si="1"/>
        <v>40320</v>
      </c>
      <c r="H42" s="461"/>
      <c r="I42" s="73">
        <f t="shared" si="2"/>
        <v>0</v>
      </c>
      <c r="J42" s="462">
        <v>2080</v>
      </c>
      <c r="K42" s="78" t="str">
        <f t="shared" si="0"/>
        <v/>
      </c>
      <c r="L42" s="52"/>
    </row>
    <row r="43" spans="1:12" ht="45" x14ac:dyDescent="0.25">
      <c r="B43" s="466" t="s">
        <v>87</v>
      </c>
      <c r="C43" s="467" t="s">
        <v>189</v>
      </c>
      <c r="D43" s="77" t="s">
        <v>106</v>
      </c>
      <c r="E43" s="52">
        <v>1728</v>
      </c>
      <c r="F43" s="52">
        <v>10</v>
      </c>
      <c r="G43" s="72">
        <f t="shared" si="1"/>
        <v>17280</v>
      </c>
      <c r="H43" s="461"/>
      <c r="I43" s="73">
        <f t="shared" ref="I43:I44" si="11">ROUND(E43*H43,2)</f>
        <v>0</v>
      </c>
      <c r="J43" s="462">
        <v>2080</v>
      </c>
      <c r="K43" s="78" t="str">
        <f t="shared" si="0"/>
        <v/>
      </c>
      <c r="L43" s="52"/>
    </row>
    <row r="44" spans="1:12" ht="30" x14ac:dyDescent="0.25">
      <c r="B44" s="84" t="s">
        <v>89</v>
      </c>
      <c r="C44" s="85" t="s">
        <v>88</v>
      </c>
      <c r="D44" s="77" t="s">
        <v>106</v>
      </c>
      <c r="E44" s="52">
        <v>8744</v>
      </c>
      <c r="F44" s="52">
        <v>2</v>
      </c>
      <c r="G44" s="72">
        <f>ROUND(E44*F44,2)</f>
        <v>17488</v>
      </c>
      <c r="H44" s="461"/>
      <c r="I44" s="73">
        <f t="shared" si="11"/>
        <v>0</v>
      </c>
      <c r="J44" s="462">
        <v>2080</v>
      </c>
      <c r="K44" s="78" t="str">
        <f t="shared" si="0"/>
        <v/>
      </c>
      <c r="L44" s="52"/>
    </row>
    <row r="45" spans="1:12" x14ac:dyDescent="0.25">
      <c r="B45" s="84" t="s">
        <v>91</v>
      </c>
      <c r="C45" s="86" t="s">
        <v>90</v>
      </c>
      <c r="D45" s="77" t="s">
        <v>106</v>
      </c>
      <c r="E45" s="87">
        <v>8747</v>
      </c>
      <c r="F45" s="52">
        <v>2</v>
      </c>
      <c r="G45" s="88">
        <f>ROUND(E45*F45,2)</f>
        <v>17494</v>
      </c>
      <c r="H45" s="461"/>
      <c r="I45" s="73">
        <f>ROUND(E45*H45,2)</f>
        <v>0</v>
      </c>
      <c r="J45" s="462">
        <v>2080</v>
      </c>
      <c r="K45" s="78" t="str">
        <f t="shared" si="0"/>
        <v/>
      </c>
      <c r="L45" s="52"/>
    </row>
    <row r="46" spans="1:12" ht="26.45" customHeight="1" x14ac:dyDescent="0.25">
      <c r="B46" s="84" t="s">
        <v>93</v>
      </c>
      <c r="C46" s="85" t="s">
        <v>153</v>
      </c>
      <c r="D46" s="77" t="s">
        <v>106</v>
      </c>
      <c r="E46" s="52">
        <v>2200</v>
      </c>
      <c r="F46" s="52">
        <v>25</v>
      </c>
      <c r="G46" s="72">
        <f t="shared" ref="G46:G47" si="12">ROUND(E46*F46,2)</f>
        <v>55000</v>
      </c>
      <c r="H46" s="461"/>
      <c r="I46" s="73">
        <f t="shared" ref="I46:I47" si="13">ROUND(E46*H46,2)</f>
        <v>0</v>
      </c>
      <c r="J46" s="462">
        <v>2080</v>
      </c>
      <c r="K46" s="78" t="str">
        <f t="shared" si="0"/>
        <v/>
      </c>
      <c r="L46" s="52"/>
    </row>
    <row r="47" spans="1:12" x14ac:dyDescent="0.25">
      <c r="B47" s="84" t="s">
        <v>94</v>
      </c>
      <c r="C47" s="86" t="s">
        <v>107</v>
      </c>
      <c r="D47" s="77" t="s">
        <v>106</v>
      </c>
      <c r="E47" s="52">
        <v>464</v>
      </c>
      <c r="F47" s="52">
        <v>35</v>
      </c>
      <c r="G47" s="72">
        <f t="shared" si="12"/>
        <v>16240</v>
      </c>
      <c r="H47" s="461"/>
      <c r="I47" s="73">
        <f t="shared" si="13"/>
        <v>0</v>
      </c>
      <c r="J47" s="462">
        <v>2080</v>
      </c>
      <c r="K47" s="78" t="str">
        <f t="shared" si="0"/>
        <v/>
      </c>
      <c r="L47" s="52"/>
    </row>
    <row r="48" spans="1:12" x14ac:dyDescent="0.25">
      <c r="A48" s="37" t="s">
        <v>110</v>
      </c>
      <c r="B48" s="89"/>
      <c r="C48" s="90" t="s">
        <v>95</v>
      </c>
      <c r="D48" s="77"/>
      <c r="G48" s="72"/>
      <c r="H48" s="71"/>
      <c r="I48" s="73"/>
      <c r="J48" s="462">
        <v>2080</v>
      </c>
      <c r="K48" s="78" t="str">
        <f t="shared" si="0"/>
        <v/>
      </c>
      <c r="L48" s="52"/>
    </row>
    <row r="49" spans="1:12" x14ac:dyDescent="0.25">
      <c r="B49" s="91" t="s">
        <v>97</v>
      </c>
      <c r="C49" s="91" t="s">
        <v>96</v>
      </c>
      <c r="D49" s="77" t="s">
        <v>106</v>
      </c>
      <c r="E49" s="52">
        <v>0</v>
      </c>
      <c r="F49" s="52">
        <v>0</v>
      </c>
      <c r="G49" s="72">
        <f t="shared" ref="G49:G50" si="14">ROUND(E49*F49,2)</f>
        <v>0</v>
      </c>
      <c r="H49" s="71">
        <v>0</v>
      </c>
      <c r="I49" s="73">
        <f t="shared" ref="I49:I50" si="15">ROUND(E49*H49,2)</f>
        <v>0</v>
      </c>
      <c r="J49" s="462">
        <v>2080</v>
      </c>
      <c r="K49" s="78" t="str">
        <f t="shared" si="0"/>
        <v/>
      </c>
      <c r="L49" s="52"/>
    </row>
    <row r="50" spans="1:12" x14ac:dyDescent="0.25">
      <c r="B50" s="91" t="s">
        <v>99</v>
      </c>
      <c r="C50" s="91" t="s">
        <v>98</v>
      </c>
      <c r="D50" s="77" t="s">
        <v>106</v>
      </c>
      <c r="E50" s="52">
        <v>0</v>
      </c>
      <c r="F50" s="52">
        <v>0</v>
      </c>
      <c r="G50" s="72">
        <f t="shared" si="14"/>
        <v>0</v>
      </c>
      <c r="H50" s="71">
        <v>0</v>
      </c>
      <c r="I50" s="73">
        <f t="shared" si="15"/>
        <v>0</v>
      </c>
      <c r="J50" s="462">
        <v>2080</v>
      </c>
      <c r="K50" s="78" t="str">
        <f t="shared" si="0"/>
        <v/>
      </c>
      <c r="L50" s="52"/>
    </row>
    <row r="51" spans="1:12" x14ac:dyDescent="0.25">
      <c r="B51" s="91" t="s">
        <v>101</v>
      </c>
      <c r="C51" s="91" t="s">
        <v>100</v>
      </c>
      <c r="D51" s="77" t="s">
        <v>106</v>
      </c>
      <c r="E51" s="52">
        <v>96</v>
      </c>
      <c r="F51" s="52">
        <v>50</v>
      </c>
      <c r="G51" s="72">
        <f t="shared" ref="G51:G54" si="16">ROUND(E51*F51,2)</f>
        <v>4800</v>
      </c>
      <c r="H51" s="461"/>
      <c r="I51" s="73">
        <f t="shared" ref="I51:I52" si="17">ROUND(E51*H51,2)</f>
        <v>0</v>
      </c>
      <c r="J51" s="462">
        <v>2080</v>
      </c>
      <c r="K51" s="78" t="str">
        <f t="shared" si="0"/>
        <v/>
      </c>
      <c r="L51" s="52"/>
    </row>
    <row r="52" spans="1:12" ht="30" x14ac:dyDescent="0.25">
      <c r="B52" s="91" t="s">
        <v>102</v>
      </c>
      <c r="C52" s="92" t="s">
        <v>147</v>
      </c>
      <c r="D52" s="77" t="s">
        <v>106</v>
      </c>
      <c r="E52" s="52">
        <v>208</v>
      </c>
      <c r="F52" s="52">
        <v>10</v>
      </c>
      <c r="G52" s="72">
        <f t="shared" si="16"/>
        <v>2080</v>
      </c>
      <c r="H52" s="461"/>
      <c r="I52" s="73">
        <f t="shared" si="17"/>
        <v>0</v>
      </c>
      <c r="J52" s="462">
        <v>2080</v>
      </c>
      <c r="K52" s="78" t="str">
        <f t="shared" si="0"/>
        <v/>
      </c>
      <c r="L52" s="52"/>
    </row>
    <row r="53" spans="1:12" x14ac:dyDescent="0.25">
      <c r="A53" s="37" t="s">
        <v>169</v>
      </c>
      <c r="B53" s="93"/>
      <c r="C53" s="94" t="s">
        <v>176</v>
      </c>
      <c r="D53" s="77"/>
      <c r="G53" s="72"/>
      <c r="H53" s="461"/>
      <c r="I53" s="73"/>
      <c r="J53" s="462">
        <v>2080</v>
      </c>
      <c r="K53" s="78" t="str">
        <f t="shared" si="0"/>
        <v/>
      </c>
      <c r="L53" s="52"/>
    </row>
    <row r="54" spans="1:12" ht="30" x14ac:dyDescent="0.25">
      <c r="A54" s="37"/>
      <c r="B54" s="95">
        <v>2080</v>
      </c>
      <c r="C54" s="96" t="s">
        <v>177</v>
      </c>
      <c r="D54" s="77" t="s">
        <v>170</v>
      </c>
      <c r="E54" s="52">
        <v>3</v>
      </c>
      <c r="F54" s="52">
        <v>440</v>
      </c>
      <c r="G54" s="72">
        <f t="shared" si="16"/>
        <v>1320</v>
      </c>
      <c r="H54" s="461"/>
      <c r="I54" s="73">
        <f t="shared" ref="I54" si="18">ROUND(E54*H54,2)</f>
        <v>0</v>
      </c>
      <c r="J54" s="462">
        <v>2080</v>
      </c>
      <c r="K54" s="78" t="str">
        <f t="shared" si="0"/>
        <v/>
      </c>
      <c r="L54" s="52"/>
    </row>
    <row r="55" spans="1:12" x14ac:dyDescent="0.25">
      <c r="A55" s="37" t="s">
        <v>31</v>
      </c>
      <c r="B55" s="37"/>
      <c r="C55" s="74" t="s">
        <v>131</v>
      </c>
      <c r="D55" s="37"/>
      <c r="G55" s="72"/>
      <c r="H55" s="71"/>
      <c r="I55" s="73"/>
      <c r="K55" s="78" t="str">
        <f t="shared" si="0"/>
        <v/>
      </c>
      <c r="L55" s="52"/>
    </row>
    <row r="56" spans="1:12" x14ac:dyDescent="0.25">
      <c r="A56" s="37" t="s">
        <v>111</v>
      </c>
      <c r="B56" s="75"/>
      <c r="C56" s="76" t="s">
        <v>38</v>
      </c>
      <c r="D56" s="37"/>
      <c r="G56" s="72"/>
      <c r="H56" s="71"/>
      <c r="I56" s="73"/>
      <c r="K56" s="78" t="str">
        <f t="shared" si="0"/>
        <v/>
      </c>
      <c r="L56" s="52"/>
    </row>
    <row r="57" spans="1:12" x14ac:dyDescent="0.25">
      <c r="A57" s="37"/>
      <c r="B57" s="75" t="s">
        <v>40</v>
      </c>
      <c r="C57" s="75" t="s">
        <v>39</v>
      </c>
      <c r="D57" s="77" t="s">
        <v>106</v>
      </c>
      <c r="E57" s="52">
        <v>43480</v>
      </c>
      <c r="F57" s="52">
        <v>9</v>
      </c>
      <c r="G57" s="72">
        <f t="shared" ref="G57" si="19">ROUND(E57*F57,2)</f>
        <v>391320</v>
      </c>
      <c r="H57" s="461"/>
      <c r="I57" s="73">
        <f t="shared" ref="I57" si="20">ROUND(E57*H57,2)</f>
        <v>0</v>
      </c>
      <c r="J57" s="465">
        <v>2079</v>
      </c>
      <c r="K57" s="78" t="str">
        <f t="shared" si="0"/>
        <v/>
      </c>
      <c r="L57" s="52"/>
    </row>
    <row r="58" spans="1:12" x14ac:dyDescent="0.25">
      <c r="A58" s="37"/>
      <c r="B58" s="75" t="s">
        <v>42</v>
      </c>
      <c r="C58" s="75" t="s">
        <v>41</v>
      </c>
      <c r="D58" s="77" t="s">
        <v>106</v>
      </c>
      <c r="E58" s="52">
        <v>130340</v>
      </c>
      <c r="F58" s="52">
        <v>13</v>
      </c>
      <c r="G58" s="72">
        <f t="shared" ref="G58:G62" si="21">ROUND(E58*F58,2)</f>
        <v>1694420</v>
      </c>
      <c r="H58" s="461"/>
      <c r="I58" s="73">
        <f t="shared" ref="I58:I62" si="22">ROUND(E58*H58,2)</f>
        <v>0</v>
      </c>
      <c r="J58" s="465">
        <v>2079</v>
      </c>
      <c r="K58" s="78" t="str">
        <f t="shared" si="0"/>
        <v/>
      </c>
      <c r="L58" s="52"/>
    </row>
    <row r="59" spans="1:12" x14ac:dyDescent="0.25">
      <c r="A59" s="37"/>
      <c r="B59" s="75" t="s">
        <v>44</v>
      </c>
      <c r="C59" s="75" t="s">
        <v>43</v>
      </c>
      <c r="D59" s="77" t="s">
        <v>106</v>
      </c>
      <c r="E59" s="52">
        <v>9504</v>
      </c>
      <c r="F59" s="52">
        <v>20</v>
      </c>
      <c r="G59" s="72">
        <f t="shared" si="21"/>
        <v>190080</v>
      </c>
      <c r="H59" s="461"/>
      <c r="I59" s="73">
        <f t="shared" si="22"/>
        <v>0</v>
      </c>
      <c r="J59" s="465">
        <v>2079</v>
      </c>
      <c r="K59" s="78" t="str">
        <f t="shared" si="0"/>
        <v/>
      </c>
      <c r="L59" s="52"/>
    </row>
    <row r="60" spans="1:12" x14ac:dyDescent="0.25">
      <c r="A60" s="37"/>
      <c r="B60" s="75" t="s">
        <v>46</v>
      </c>
      <c r="C60" s="75" t="s">
        <v>45</v>
      </c>
      <c r="D60" s="77" t="s">
        <v>106</v>
      </c>
      <c r="E60" s="52">
        <v>14257</v>
      </c>
      <c r="F60" s="52">
        <v>8</v>
      </c>
      <c r="G60" s="72">
        <f t="shared" si="21"/>
        <v>114056</v>
      </c>
      <c r="H60" s="461"/>
      <c r="I60" s="73">
        <f t="shared" si="22"/>
        <v>0</v>
      </c>
      <c r="J60" s="465">
        <v>2079</v>
      </c>
      <c r="K60" s="78" t="str">
        <f t="shared" si="0"/>
        <v/>
      </c>
      <c r="L60" s="52"/>
    </row>
    <row r="61" spans="1:12" x14ac:dyDescent="0.25">
      <c r="A61" s="37"/>
      <c r="B61" s="75" t="s">
        <v>48</v>
      </c>
      <c r="C61" s="75" t="s">
        <v>47</v>
      </c>
      <c r="D61" s="77" t="s">
        <v>106</v>
      </c>
      <c r="E61" s="52">
        <v>12800</v>
      </c>
      <c r="F61" s="52">
        <v>25</v>
      </c>
      <c r="G61" s="72">
        <f t="shared" si="21"/>
        <v>320000</v>
      </c>
      <c r="H61" s="461"/>
      <c r="I61" s="73">
        <f t="shared" si="22"/>
        <v>0</v>
      </c>
      <c r="J61" s="465">
        <v>2079</v>
      </c>
      <c r="K61" s="78" t="str">
        <f t="shared" si="0"/>
        <v/>
      </c>
      <c r="L61" s="52"/>
    </row>
    <row r="62" spans="1:12" x14ac:dyDescent="0.25">
      <c r="A62" s="37"/>
      <c r="B62" s="75" t="s">
        <v>50</v>
      </c>
      <c r="C62" s="75" t="s">
        <v>49</v>
      </c>
      <c r="D62" s="77" t="s">
        <v>106</v>
      </c>
      <c r="E62" s="52">
        <v>864</v>
      </c>
      <c r="F62" s="52">
        <v>175</v>
      </c>
      <c r="G62" s="72">
        <f t="shared" si="21"/>
        <v>151200</v>
      </c>
      <c r="H62" s="461"/>
      <c r="I62" s="73">
        <f t="shared" si="22"/>
        <v>0</v>
      </c>
      <c r="J62" s="465">
        <v>2079</v>
      </c>
      <c r="K62" s="78" t="str">
        <f t="shared" si="0"/>
        <v/>
      </c>
      <c r="L62" s="52"/>
    </row>
    <row r="63" spans="1:12" x14ac:dyDescent="0.25">
      <c r="A63" s="37"/>
      <c r="B63" s="75" t="s">
        <v>137</v>
      </c>
      <c r="C63" s="75" t="s">
        <v>136</v>
      </c>
      <c r="D63" s="77" t="s">
        <v>106</v>
      </c>
      <c r="E63" s="52">
        <v>0</v>
      </c>
      <c r="F63" s="52">
        <v>0</v>
      </c>
      <c r="G63" s="72">
        <f t="shared" ref="G63" si="23">ROUND(E63*F63,2)</f>
        <v>0</v>
      </c>
      <c r="H63" s="71">
        <v>0</v>
      </c>
      <c r="I63" s="73">
        <f t="shared" ref="I63" si="24">ROUND(E63*H63,2)</f>
        <v>0</v>
      </c>
      <c r="J63" s="465">
        <v>2079</v>
      </c>
      <c r="K63" s="78" t="str">
        <f t="shared" si="0"/>
        <v/>
      </c>
      <c r="L63" s="52"/>
    </row>
    <row r="64" spans="1:12" x14ac:dyDescent="0.25">
      <c r="A64" s="37" t="s">
        <v>112</v>
      </c>
      <c r="B64" s="79"/>
      <c r="C64" s="80" t="s">
        <v>51</v>
      </c>
      <c r="D64" s="77"/>
      <c r="G64" s="72"/>
      <c r="H64" s="71"/>
      <c r="I64" s="73"/>
      <c r="J64" s="465">
        <v>2079</v>
      </c>
      <c r="K64" s="78" t="str">
        <f t="shared" si="0"/>
        <v/>
      </c>
      <c r="L64" s="52"/>
    </row>
    <row r="65" spans="1:12" x14ac:dyDescent="0.25">
      <c r="A65" s="37"/>
      <c r="B65" s="79" t="s">
        <v>53</v>
      </c>
      <c r="C65" s="79" t="s">
        <v>52</v>
      </c>
      <c r="D65" s="77" t="s">
        <v>106</v>
      </c>
      <c r="E65" s="52">
        <v>1728</v>
      </c>
      <c r="F65" s="52">
        <v>90</v>
      </c>
      <c r="G65" s="72">
        <f t="shared" ref="G65:G96" si="25">ROUND(E65*F65,2)</f>
        <v>155520</v>
      </c>
      <c r="H65" s="461"/>
      <c r="I65" s="73">
        <f t="shared" ref="I65:I96" si="26">ROUND(E65*H65,2)</f>
        <v>0</v>
      </c>
      <c r="J65" s="465">
        <v>2079</v>
      </c>
      <c r="K65" s="78" t="str">
        <f t="shared" si="0"/>
        <v/>
      </c>
      <c r="L65" s="52"/>
    </row>
    <row r="66" spans="1:12" x14ac:dyDescent="0.25">
      <c r="A66" s="37"/>
      <c r="B66" s="79" t="s">
        <v>55</v>
      </c>
      <c r="C66" s="79" t="s">
        <v>54</v>
      </c>
      <c r="D66" s="77" t="s">
        <v>106</v>
      </c>
      <c r="E66" s="52">
        <v>0</v>
      </c>
      <c r="F66" s="52">
        <v>0</v>
      </c>
      <c r="G66" s="72">
        <f t="shared" ref="G66" si="27">ROUND(E66*F66,2)</f>
        <v>0</v>
      </c>
      <c r="H66" s="71">
        <v>0</v>
      </c>
      <c r="I66" s="73">
        <f t="shared" ref="I66" si="28">ROUND(E66*H66,2)</f>
        <v>0</v>
      </c>
      <c r="J66" s="465">
        <v>2079</v>
      </c>
      <c r="K66" s="78" t="str">
        <f t="shared" si="0"/>
        <v/>
      </c>
      <c r="L66" s="52"/>
    </row>
    <row r="67" spans="1:12" x14ac:dyDescent="0.25">
      <c r="A67" s="37"/>
      <c r="B67" s="79" t="s">
        <v>57</v>
      </c>
      <c r="C67" s="79" t="s">
        <v>56</v>
      </c>
      <c r="D67" s="77" t="s">
        <v>106</v>
      </c>
      <c r="E67" s="52">
        <v>864</v>
      </c>
      <c r="F67" s="52">
        <v>80</v>
      </c>
      <c r="G67" s="72">
        <f t="shared" si="25"/>
        <v>69120</v>
      </c>
      <c r="H67" s="461"/>
      <c r="I67" s="73">
        <f t="shared" si="26"/>
        <v>0</v>
      </c>
      <c r="J67" s="465">
        <v>2079</v>
      </c>
      <c r="K67" s="78" t="str">
        <f t="shared" si="0"/>
        <v/>
      </c>
      <c r="L67" s="52"/>
    </row>
    <row r="68" spans="1:12" x14ac:dyDescent="0.25">
      <c r="A68" s="37"/>
      <c r="B68" s="79" t="s">
        <v>59</v>
      </c>
      <c r="C68" s="79" t="s">
        <v>58</v>
      </c>
      <c r="D68" s="77" t="s">
        <v>106</v>
      </c>
      <c r="E68" s="52">
        <v>320</v>
      </c>
      <c r="F68" s="52">
        <v>90</v>
      </c>
      <c r="G68" s="72">
        <f t="shared" si="25"/>
        <v>28800</v>
      </c>
      <c r="H68" s="461"/>
      <c r="I68" s="73">
        <f t="shared" si="26"/>
        <v>0</v>
      </c>
      <c r="J68" s="465">
        <v>2079</v>
      </c>
      <c r="K68" s="78" t="str">
        <f t="shared" si="0"/>
        <v/>
      </c>
      <c r="L68" s="52"/>
    </row>
    <row r="69" spans="1:12" x14ac:dyDescent="0.25">
      <c r="A69" s="37"/>
      <c r="B69" s="79" t="s">
        <v>61</v>
      </c>
      <c r="C69" s="79" t="s">
        <v>60</v>
      </c>
      <c r="D69" s="77" t="s">
        <v>106</v>
      </c>
      <c r="E69" s="52">
        <v>0</v>
      </c>
      <c r="F69" s="52">
        <v>0</v>
      </c>
      <c r="G69" s="72">
        <f t="shared" ref="G69" si="29">ROUND(E69*F69,2)</f>
        <v>0</v>
      </c>
      <c r="H69" s="71">
        <v>0</v>
      </c>
      <c r="I69" s="73">
        <f t="shared" ref="I69" si="30">ROUND(E69*H69,2)</f>
        <v>0</v>
      </c>
      <c r="J69" s="465">
        <v>2079</v>
      </c>
      <c r="K69" s="78" t="str">
        <f t="shared" si="0"/>
        <v/>
      </c>
      <c r="L69" s="52"/>
    </row>
    <row r="70" spans="1:12" x14ac:dyDescent="0.25">
      <c r="A70" s="37"/>
      <c r="B70" s="79" t="s">
        <v>63</v>
      </c>
      <c r="C70" s="79" t="s">
        <v>62</v>
      </c>
      <c r="D70" s="77" t="s">
        <v>106</v>
      </c>
      <c r="E70" s="52">
        <v>96</v>
      </c>
      <c r="F70" s="52">
        <v>50</v>
      </c>
      <c r="G70" s="72">
        <f t="shared" si="25"/>
        <v>4800</v>
      </c>
      <c r="H70" s="461"/>
      <c r="I70" s="73">
        <f t="shared" si="26"/>
        <v>0</v>
      </c>
      <c r="J70" s="465">
        <v>2079</v>
      </c>
      <c r="K70" s="78" t="str">
        <f t="shared" si="0"/>
        <v/>
      </c>
      <c r="L70" s="52"/>
    </row>
    <row r="71" spans="1:12" x14ac:dyDescent="0.25">
      <c r="A71" s="37"/>
      <c r="B71" s="79" t="s">
        <v>64</v>
      </c>
      <c r="C71" s="79" t="s">
        <v>140</v>
      </c>
      <c r="D71" s="77" t="s">
        <v>106</v>
      </c>
      <c r="E71" s="52">
        <v>96</v>
      </c>
      <c r="F71" s="52">
        <v>50</v>
      </c>
      <c r="G71" s="72">
        <f t="shared" si="25"/>
        <v>4800</v>
      </c>
      <c r="H71" s="461"/>
      <c r="I71" s="73">
        <f t="shared" si="26"/>
        <v>0</v>
      </c>
      <c r="J71" s="465">
        <v>2079</v>
      </c>
      <c r="K71" s="78" t="str">
        <f t="shared" si="0"/>
        <v/>
      </c>
      <c r="L71" s="52"/>
    </row>
    <row r="72" spans="1:12" ht="30" x14ac:dyDescent="0.25">
      <c r="A72" s="37"/>
      <c r="B72" s="79" t="s">
        <v>66</v>
      </c>
      <c r="C72" s="81" t="s">
        <v>65</v>
      </c>
      <c r="D72" s="77" t="s">
        <v>106</v>
      </c>
      <c r="E72" s="52">
        <v>648</v>
      </c>
      <c r="F72" s="52">
        <v>100</v>
      </c>
      <c r="G72" s="72">
        <f t="shared" si="25"/>
        <v>64800</v>
      </c>
      <c r="H72" s="461"/>
      <c r="I72" s="73">
        <f t="shared" si="26"/>
        <v>0</v>
      </c>
      <c r="J72" s="465">
        <v>2079</v>
      </c>
      <c r="K72" s="78" t="str">
        <f t="shared" si="0"/>
        <v/>
      </c>
      <c r="L72" s="52"/>
    </row>
    <row r="73" spans="1:12" ht="30" x14ac:dyDescent="0.25">
      <c r="A73" s="37"/>
      <c r="B73" s="79" t="s">
        <v>68</v>
      </c>
      <c r="C73" s="81" t="s">
        <v>67</v>
      </c>
      <c r="D73" s="77" t="s">
        <v>106</v>
      </c>
      <c r="E73" s="52">
        <v>0</v>
      </c>
      <c r="F73" s="52">
        <v>0</v>
      </c>
      <c r="G73" s="72">
        <f t="shared" ref="G73" si="31">ROUND(E73*F73,2)</f>
        <v>0</v>
      </c>
      <c r="H73" s="71">
        <v>0</v>
      </c>
      <c r="I73" s="73">
        <f t="shared" ref="I73" si="32">ROUND(E73*H73,2)</f>
        <v>0</v>
      </c>
      <c r="J73" s="465">
        <v>2079</v>
      </c>
      <c r="K73" s="78" t="str">
        <f t="shared" si="0"/>
        <v/>
      </c>
      <c r="L73" s="52"/>
    </row>
    <row r="74" spans="1:12" x14ac:dyDescent="0.25">
      <c r="A74" s="37"/>
      <c r="B74" s="79" t="s">
        <v>70</v>
      </c>
      <c r="C74" s="79" t="s">
        <v>69</v>
      </c>
      <c r="D74" s="77" t="s">
        <v>106</v>
      </c>
      <c r="E74" s="52">
        <v>1280</v>
      </c>
      <c r="F74" s="52">
        <v>50</v>
      </c>
      <c r="G74" s="72">
        <f t="shared" si="25"/>
        <v>64000</v>
      </c>
      <c r="H74" s="461"/>
      <c r="I74" s="73">
        <f t="shared" si="26"/>
        <v>0</v>
      </c>
      <c r="J74" s="465">
        <v>2079</v>
      </c>
      <c r="K74" s="78" t="str">
        <f t="shared" si="0"/>
        <v/>
      </c>
      <c r="L74" s="52"/>
    </row>
    <row r="75" spans="1:12" ht="30" x14ac:dyDescent="0.25">
      <c r="A75" s="37"/>
      <c r="B75" s="79" t="s">
        <v>72</v>
      </c>
      <c r="C75" s="81" t="s">
        <v>71</v>
      </c>
      <c r="D75" s="77" t="s">
        <v>106</v>
      </c>
      <c r="E75" s="52">
        <v>320</v>
      </c>
      <c r="F75" s="52">
        <v>40</v>
      </c>
      <c r="G75" s="72">
        <f t="shared" si="25"/>
        <v>12800</v>
      </c>
      <c r="H75" s="461"/>
      <c r="I75" s="73">
        <f t="shared" si="26"/>
        <v>0</v>
      </c>
      <c r="J75" s="465">
        <v>2079</v>
      </c>
      <c r="K75" s="78" t="str">
        <f t="shared" si="0"/>
        <v/>
      </c>
      <c r="L75" s="52"/>
    </row>
    <row r="76" spans="1:12" x14ac:dyDescent="0.25">
      <c r="A76" s="37"/>
      <c r="B76" s="79" t="s">
        <v>73</v>
      </c>
      <c r="C76" s="79" t="s">
        <v>141</v>
      </c>
      <c r="D76" s="77" t="s">
        <v>106</v>
      </c>
      <c r="E76" s="52">
        <v>864</v>
      </c>
      <c r="F76" s="52">
        <v>50</v>
      </c>
      <c r="G76" s="72">
        <f t="shared" si="25"/>
        <v>43200</v>
      </c>
      <c r="H76" s="461"/>
      <c r="I76" s="73">
        <f t="shared" si="26"/>
        <v>0</v>
      </c>
      <c r="J76" s="465">
        <v>2079</v>
      </c>
      <c r="K76" s="78" t="str">
        <f t="shared" si="0"/>
        <v/>
      </c>
      <c r="L76" s="52"/>
    </row>
    <row r="77" spans="1:12" x14ac:dyDescent="0.25">
      <c r="A77" s="37"/>
      <c r="B77" s="79" t="s">
        <v>75</v>
      </c>
      <c r="C77" s="79" t="s">
        <v>74</v>
      </c>
      <c r="D77" s="77" t="s">
        <v>106</v>
      </c>
      <c r="E77" s="52">
        <v>160</v>
      </c>
      <c r="F77" s="52">
        <v>20</v>
      </c>
      <c r="G77" s="72">
        <f t="shared" si="25"/>
        <v>3200</v>
      </c>
      <c r="H77" s="461"/>
      <c r="I77" s="73">
        <f t="shared" si="26"/>
        <v>0</v>
      </c>
      <c r="J77" s="465">
        <v>2079</v>
      </c>
      <c r="K77" s="78" t="str">
        <f t="shared" si="0"/>
        <v/>
      </c>
      <c r="L77" s="52"/>
    </row>
    <row r="78" spans="1:12" x14ac:dyDescent="0.25">
      <c r="A78" s="37"/>
      <c r="B78" s="79" t="s">
        <v>143</v>
      </c>
      <c r="C78" s="79" t="s">
        <v>142</v>
      </c>
      <c r="D78" s="77" t="s">
        <v>106</v>
      </c>
      <c r="E78" s="52">
        <v>0</v>
      </c>
      <c r="F78" s="52">
        <v>0</v>
      </c>
      <c r="G78" s="72">
        <f t="shared" ref="G78" si="33">ROUND(E78*F78,2)</f>
        <v>0</v>
      </c>
      <c r="H78" s="71">
        <v>0</v>
      </c>
      <c r="I78" s="73">
        <f t="shared" ref="I78" si="34">ROUND(E78*H78,2)</f>
        <v>0</v>
      </c>
      <c r="J78" s="465">
        <v>2079</v>
      </c>
      <c r="K78" s="78" t="str">
        <f t="shared" si="0"/>
        <v/>
      </c>
      <c r="L78" s="52"/>
    </row>
    <row r="79" spans="1:12" x14ac:dyDescent="0.25">
      <c r="A79" s="37"/>
      <c r="B79" s="79" t="s">
        <v>77</v>
      </c>
      <c r="C79" s="79" t="s">
        <v>76</v>
      </c>
      <c r="D79" s="77" t="s">
        <v>106</v>
      </c>
      <c r="E79" s="52">
        <v>8000</v>
      </c>
      <c r="F79" s="52">
        <v>25</v>
      </c>
      <c r="G79" s="72">
        <f t="shared" si="25"/>
        <v>200000</v>
      </c>
      <c r="H79" s="461"/>
      <c r="I79" s="73">
        <f t="shared" si="26"/>
        <v>0</v>
      </c>
      <c r="J79" s="465">
        <v>2079</v>
      </c>
      <c r="K79" s="78" t="str">
        <f t="shared" si="0"/>
        <v/>
      </c>
      <c r="L79" s="52"/>
    </row>
    <row r="80" spans="1:12" x14ac:dyDescent="0.25">
      <c r="A80" s="37"/>
      <c r="B80" s="79" t="s">
        <v>79</v>
      </c>
      <c r="C80" s="79" t="s">
        <v>78</v>
      </c>
      <c r="D80" s="77" t="s">
        <v>106</v>
      </c>
      <c r="E80" s="52">
        <v>0</v>
      </c>
      <c r="F80" s="52">
        <v>0</v>
      </c>
      <c r="G80" s="72">
        <f t="shared" ref="G80" si="35">ROUND(E80*F80,2)</f>
        <v>0</v>
      </c>
      <c r="H80" s="71">
        <v>0</v>
      </c>
      <c r="I80" s="73">
        <f t="shared" ref="I80" si="36">ROUND(E80*H80,2)</f>
        <v>0</v>
      </c>
      <c r="J80" s="465">
        <v>2079</v>
      </c>
      <c r="K80" s="78" t="str">
        <f t="shared" ref="K80:K143" si="37">+IF(H80&gt;F80,"Importe superior a importe máximo","")</f>
        <v/>
      </c>
      <c r="L80" s="52"/>
    </row>
    <row r="81" spans="1:12" x14ac:dyDescent="0.25">
      <c r="A81" s="37"/>
      <c r="B81" s="79" t="s">
        <v>80</v>
      </c>
      <c r="C81" s="79" t="s">
        <v>152</v>
      </c>
      <c r="D81" s="77" t="s">
        <v>106</v>
      </c>
      <c r="E81" s="52">
        <v>6400</v>
      </c>
      <c r="F81" s="52">
        <v>15</v>
      </c>
      <c r="G81" s="72">
        <f t="shared" si="25"/>
        <v>96000</v>
      </c>
      <c r="H81" s="461"/>
      <c r="I81" s="73">
        <f t="shared" si="26"/>
        <v>0</v>
      </c>
      <c r="J81" s="465">
        <v>2079</v>
      </c>
      <c r="K81" s="78" t="str">
        <f t="shared" si="37"/>
        <v/>
      </c>
      <c r="L81" s="52"/>
    </row>
    <row r="82" spans="1:12" x14ac:dyDescent="0.25">
      <c r="A82" s="37" t="s">
        <v>113</v>
      </c>
      <c r="B82" s="82"/>
      <c r="C82" s="83" t="s">
        <v>190</v>
      </c>
      <c r="D82" s="77"/>
      <c r="G82" s="72"/>
      <c r="H82" s="71"/>
      <c r="I82" s="73"/>
      <c r="J82" s="465">
        <v>2079</v>
      </c>
      <c r="K82" s="78" t="str">
        <f t="shared" si="37"/>
        <v/>
      </c>
      <c r="L82" s="52"/>
    </row>
    <row r="83" spans="1:12" x14ac:dyDescent="0.25">
      <c r="A83" s="37"/>
      <c r="B83" s="82" t="s">
        <v>83</v>
      </c>
      <c r="C83" s="82" t="s">
        <v>82</v>
      </c>
      <c r="D83" s="77" t="s">
        <v>106</v>
      </c>
      <c r="E83" s="52">
        <v>0</v>
      </c>
      <c r="F83" s="52">
        <v>0</v>
      </c>
      <c r="G83" s="72">
        <f t="shared" ref="G83" si="38">ROUND(E83*F83,2)</f>
        <v>0</v>
      </c>
      <c r="H83" s="71">
        <v>0</v>
      </c>
      <c r="I83" s="73">
        <f t="shared" ref="I83" si="39">ROUND(E83*H83,2)</f>
        <v>0</v>
      </c>
      <c r="J83" s="465">
        <v>2079</v>
      </c>
      <c r="K83" s="78" t="str">
        <f t="shared" si="37"/>
        <v/>
      </c>
      <c r="L83" s="52"/>
    </row>
    <row r="84" spans="1:12" x14ac:dyDescent="0.25">
      <c r="A84" s="37"/>
      <c r="B84" s="82" t="s">
        <v>85</v>
      </c>
      <c r="C84" s="82" t="s">
        <v>84</v>
      </c>
      <c r="D84" s="77" t="s">
        <v>106</v>
      </c>
      <c r="E84" s="52">
        <v>864</v>
      </c>
      <c r="F84" s="52">
        <v>70</v>
      </c>
      <c r="G84" s="72">
        <f t="shared" si="25"/>
        <v>60480</v>
      </c>
      <c r="H84" s="461"/>
      <c r="I84" s="73">
        <f t="shared" si="26"/>
        <v>0</v>
      </c>
      <c r="J84" s="465">
        <v>2079</v>
      </c>
      <c r="K84" s="78" t="str">
        <f t="shared" si="37"/>
        <v/>
      </c>
      <c r="L84" s="52"/>
    </row>
    <row r="85" spans="1:12" ht="45" x14ac:dyDescent="0.25">
      <c r="B85" s="466" t="s">
        <v>87</v>
      </c>
      <c r="C85" s="467" t="s">
        <v>189</v>
      </c>
      <c r="D85" s="77" t="s">
        <v>106</v>
      </c>
      <c r="E85" s="52">
        <v>2592</v>
      </c>
      <c r="F85" s="52">
        <v>10</v>
      </c>
      <c r="G85" s="72">
        <f>ROUND(E85*F85,2)</f>
        <v>25920</v>
      </c>
      <c r="H85" s="461"/>
      <c r="I85" s="73">
        <f>ROUND(E85*H85,2)</f>
        <v>0</v>
      </c>
      <c r="J85" s="465">
        <v>2079</v>
      </c>
      <c r="K85" s="78" t="str">
        <f t="shared" si="37"/>
        <v/>
      </c>
      <c r="L85" s="52"/>
    </row>
    <row r="86" spans="1:12" ht="30" x14ac:dyDescent="0.25">
      <c r="B86" s="84" t="s">
        <v>89</v>
      </c>
      <c r="C86" s="85" t="s">
        <v>88</v>
      </c>
      <c r="D86" s="77" t="s">
        <v>106</v>
      </c>
      <c r="E86" s="52">
        <v>14401</v>
      </c>
      <c r="F86" s="52">
        <v>2</v>
      </c>
      <c r="G86" s="72">
        <f t="shared" si="25"/>
        <v>28802</v>
      </c>
      <c r="H86" s="461"/>
      <c r="I86" s="73">
        <f t="shared" si="26"/>
        <v>0</v>
      </c>
      <c r="J86" s="465">
        <v>2079</v>
      </c>
      <c r="K86" s="78" t="str">
        <f t="shared" si="37"/>
        <v/>
      </c>
      <c r="L86" s="52"/>
    </row>
    <row r="87" spans="1:12" x14ac:dyDescent="0.25">
      <c r="B87" s="84" t="s">
        <v>91</v>
      </c>
      <c r="C87" s="86" t="s">
        <v>90</v>
      </c>
      <c r="D87" s="77" t="s">
        <v>106</v>
      </c>
      <c r="E87" s="52">
        <v>14400</v>
      </c>
      <c r="F87" s="52">
        <v>2</v>
      </c>
      <c r="G87" s="72">
        <f t="shared" si="25"/>
        <v>28800</v>
      </c>
      <c r="H87" s="461"/>
      <c r="I87" s="73">
        <f t="shared" si="26"/>
        <v>0</v>
      </c>
      <c r="J87" s="465">
        <v>2079</v>
      </c>
      <c r="K87" s="78" t="str">
        <f t="shared" si="37"/>
        <v/>
      </c>
      <c r="L87" s="52"/>
    </row>
    <row r="88" spans="1:12" ht="30" x14ac:dyDescent="0.25">
      <c r="B88" s="84" t="s">
        <v>93</v>
      </c>
      <c r="C88" s="85" t="s">
        <v>153</v>
      </c>
      <c r="D88" s="77" t="s">
        <v>106</v>
      </c>
      <c r="E88" s="52">
        <v>4000</v>
      </c>
      <c r="F88" s="52">
        <v>25</v>
      </c>
      <c r="G88" s="72">
        <f t="shared" si="25"/>
        <v>100000</v>
      </c>
      <c r="H88" s="461"/>
      <c r="I88" s="73">
        <f t="shared" si="26"/>
        <v>0</v>
      </c>
      <c r="J88" s="465">
        <v>2079</v>
      </c>
      <c r="K88" s="78" t="str">
        <f t="shared" si="37"/>
        <v/>
      </c>
      <c r="L88" s="52"/>
    </row>
    <row r="89" spans="1:12" x14ac:dyDescent="0.25">
      <c r="B89" s="84" t="s">
        <v>94</v>
      </c>
      <c r="C89" s="86" t="s">
        <v>107</v>
      </c>
      <c r="D89" s="77" t="s">
        <v>106</v>
      </c>
      <c r="E89" s="52">
        <v>648</v>
      </c>
      <c r="F89" s="52">
        <v>35</v>
      </c>
      <c r="G89" s="72">
        <f t="shared" si="25"/>
        <v>22680</v>
      </c>
      <c r="H89" s="461"/>
      <c r="I89" s="73">
        <f t="shared" si="26"/>
        <v>0</v>
      </c>
      <c r="J89" s="465">
        <v>2079</v>
      </c>
      <c r="K89" s="78" t="str">
        <f t="shared" si="37"/>
        <v/>
      </c>
      <c r="L89" s="52"/>
    </row>
    <row r="90" spans="1:12" x14ac:dyDescent="0.25">
      <c r="A90" s="37" t="s">
        <v>114</v>
      </c>
      <c r="B90" s="89"/>
      <c r="C90" s="90" t="s">
        <v>95</v>
      </c>
      <c r="D90" s="77"/>
      <c r="G90" s="72"/>
      <c r="H90" s="71"/>
      <c r="I90" s="73"/>
      <c r="J90" s="465">
        <v>2079</v>
      </c>
      <c r="K90" s="78" t="str">
        <f t="shared" si="37"/>
        <v/>
      </c>
      <c r="L90" s="52"/>
    </row>
    <row r="91" spans="1:12" x14ac:dyDescent="0.25">
      <c r="B91" s="91" t="s">
        <v>97</v>
      </c>
      <c r="C91" s="91" t="s">
        <v>96</v>
      </c>
      <c r="D91" s="77" t="s">
        <v>106</v>
      </c>
      <c r="F91" s="52">
        <v>0</v>
      </c>
      <c r="G91" s="72">
        <f t="shared" ref="G91:G92" si="40">ROUND(E91*F91,2)</f>
        <v>0</v>
      </c>
      <c r="H91" s="71">
        <v>0</v>
      </c>
      <c r="I91" s="73">
        <f t="shared" ref="I91:I92" si="41">ROUND(E91*H91,2)</f>
        <v>0</v>
      </c>
      <c r="J91" s="465">
        <v>2079</v>
      </c>
      <c r="K91" s="78" t="str">
        <f t="shared" si="37"/>
        <v/>
      </c>
      <c r="L91" s="52"/>
    </row>
    <row r="92" spans="1:12" x14ac:dyDescent="0.25">
      <c r="B92" s="91" t="s">
        <v>99</v>
      </c>
      <c r="C92" s="91" t="s">
        <v>98</v>
      </c>
      <c r="D92" s="77" t="s">
        <v>106</v>
      </c>
      <c r="F92" s="52">
        <v>0</v>
      </c>
      <c r="G92" s="72">
        <f t="shared" si="40"/>
        <v>0</v>
      </c>
      <c r="H92" s="71">
        <v>0</v>
      </c>
      <c r="I92" s="73">
        <f t="shared" si="41"/>
        <v>0</v>
      </c>
      <c r="J92" s="465">
        <v>2079</v>
      </c>
      <c r="K92" s="78" t="str">
        <f t="shared" si="37"/>
        <v/>
      </c>
      <c r="L92" s="52"/>
    </row>
    <row r="93" spans="1:12" x14ac:dyDescent="0.25">
      <c r="B93" s="91" t="s">
        <v>101</v>
      </c>
      <c r="C93" s="91" t="s">
        <v>100</v>
      </c>
      <c r="D93" s="77" t="s">
        <v>106</v>
      </c>
      <c r="E93" s="52">
        <v>96</v>
      </c>
      <c r="F93" s="52">
        <v>50</v>
      </c>
      <c r="G93" s="72">
        <f t="shared" si="25"/>
        <v>4800</v>
      </c>
      <c r="H93" s="461"/>
      <c r="I93" s="73">
        <f t="shared" si="26"/>
        <v>0</v>
      </c>
      <c r="J93" s="465">
        <v>2079</v>
      </c>
      <c r="K93" s="78" t="str">
        <f t="shared" si="37"/>
        <v/>
      </c>
      <c r="L93" s="52"/>
    </row>
    <row r="94" spans="1:12" ht="30" x14ac:dyDescent="0.25">
      <c r="B94" s="91" t="s">
        <v>102</v>
      </c>
      <c r="C94" s="92" t="s">
        <v>147</v>
      </c>
      <c r="D94" s="77" t="s">
        <v>106</v>
      </c>
      <c r="E94" s="52">
        <v>208</v>
      </c>
      <c r="F94" s="52">
        <v>10</v>
      </c>
      <c r="G94" s="72">
        <f t="shared" si="25"/>
        <v>2080</v>
      </c>
      <c r="H94" s="461"/>
      <c r="I94" s="73">
        <f t="shared" si="26"/>
        <v>0</v>
      </c>
      <c r="J94" s="465">
        <v>2079</v>
      </c>
      <c r="K94" s="78" t="str">
        <f t="shared" si="37"/>
        <v/>
      </c>
      <c r="L94" s="52"/>
    </row>
    <row r="95" spans="1:12" x14ac:dyDescent="0.25">
      <c r="A95" s="37" t="s">
        <v>171</v>
      </c>
      <c r="B95" s="93"/>
      <c r="C95" s="94" t="s">
        <v>176</v>
      </c>
      <c r="D95" s="77"/>
      <c r="G95" s="72"/>
      <c r="H95" s="71"/>
      <c r="I95" s="73"/>
      <c r="J95" s="465">
        <v>2079</v>
      </c>
      <c r="K95" s="78" t="str">
        <f t="shared" si="37"/>
        <v/>
      </c>
      <c r="L95" s="52"/>
    </row>
    <row r="96" spans="1:12" ht="27.6" customHeight="1" x14ac:dyDescent="0.25">
      <c r="B96" s="95">
        <v>2079</v>
      </c>
      <c r="C96" s="96" t="s">
        <v>177</v>
      </c>
      <c r="D96" s="77" t="s">
        <v>170</v>
      </c>
      <c r="E96" s="52">
        <v>3</v>
      </c>
      <c r="F96" s="52">
        <v>440</v>
      </c>
      <c r="G96" s="72">
        <f t="shared" si="25"/>
        <v>1320</v>
      </c>
      <c r="H96" s="461"/>
      <c r="I96" s="73">
        <f t="shared" si="26"/>
        <v>0</v>
      </c>
      <c r="J96" s="465">
        <v>2079</v>
      </c>
      <c r="K96" s="78" t="str">
        <f t="shared" si="37"/>
        <v/>
      </c>
      <c r="L96" s="52"/>
    </row>
    <row r="97" spans="1:12" x14ac:dyDescent="0.25">
      <c r="A97" s="37" t="s">
        <v>115</v>
      </c>
      <c r="B97" s="37"/>
      <c r="C97" s="74" t="s">
        <v>132</v>
      </c>
      <c r="D97" s="37"/>
      <c r="G97" s="72"/>
      <c r="H97" s="71"/>
      <c r="I97" s="73"/>
      <c r="K97" s="78" t="str">
        <f t="shared" si="37"/>
        <v/>
      </c>
      <c r="L97" s="52"/>
    </row>
    <row r="98" spans="1:12" x14ac:dyDescent="0.25">
      <c r="A98" s="37" t="s">
        <v>116</v>
      </c>
      <c r="B98" s="75"/>
      <c r="C98" s="76" t="s">
        <v>38</v>
      </c>
      <c r="D98" s="37"/>
      <c r="G98" s="72"/>
      <c r="H98" s="71"/>
      <c r="I98" s="73"/>
      <c r="K98" s="78" t="str">
        <f t="shared" si="37"/>
        <v/>
      </c>
      <c r="L98" s="52"/>
    </row>
    <row r="99" spans="1:12" x14ac:dyDescent="0.25">
      <c r="A99" s="37"/>
      <c r="B99" s="75" t="s">
        <v>40</v>
      </c>
      <c r="C99" s="75" t="s">
        <v>39</v>
      </c>
      <c r="D99" s="77" t="s">
        <v>106</v>
      </c>
      <c r="E99" s="52">
        <v>19475</v>
      </c>
      <c r="F99" s="52">
        <v>9</v>
      </c>
      <c r="G99" s="72">
        <f t="shared" ref="G99:G131" si="42">ROUND(E99*F99,2)</f>
        <v>175275</v>
      </c>
      <c r="H99" s="461"/>
      <c r="I99" s="73">
        <f t="shared" ref="I99:I136" si="43">ROUND(E99*H99,2)</f>
        <v>0</v>
      </c>
      <c r="J99" s="465">
        <v>2080</v>
      </c>
      <c r="K99" s="78" t="str">
        <f t="shared" si="37"/>
        <v/>
      </c>
      <c r="L99" s="52"/>
    </row>
    <row r="100" spans="1:12" x14ac:dyDescent="0.25">
      <c r="A100" s="37"/>
      <c r="B100" s="75" t="s">
        <v>42</v>
      </c>
      <c r="C100" s="75" t="s">
        <v>41</v>
      </c>
      <c r="D100" s="77" t="s">
        <v>106</v>
      </c>
      <c r="E100" s="52">
        <v>58424</v>
      </c>
      <c r="F100" s="52">
        <v>13</v>
      </c>
      <c r="G100" s="72">
        <f t="shared" si="42"/>
        <v>759512</v>
      </c>
      <c r="H100" s="461"/>
      <c r="I100" s="73">
        <f t="shared" si="43"/>
        <v>0</v>
      </c>
      <c r="J100" s="465">
        <v>2080</v>
      </c>
      <c r="K100" s="78" t="str">
        <f t="shared" si="37"/>
        <v/>
      </c>
      <c r="L100" s="52"/>
    </row>
    <row r="101" spans="1:12" x14ac:dyDescent="0.25">
      <c r="A101" s="37"/>
      <c r="B101" s="75" t="s">
        <v>44</v>
      </c>
      <c r="C101" s="75" t="s">
        <v>43</v>
      </c>
      <c r="D101" s="77" t="s">
        <v>106</v>
      </c>
      <c r="E101" s="52">
        <v>3959.9999999999995</v>
      </c>
      <c r="F101" s="52">
        <v>20</v>
      </c>
      <c r="G101" s="72">
        <f t="shared" si="42"/>
        <v>79200</v>
      </c>
      <c r="H101" s="461"/>
      <c r="I101" s="73">
        <f t="shared" si="43"/>
        <v>0</v>
      </c>
      <c r="J101" s="465">
        <v>2080</v>
      </c>
      <c r="K101" s="78" t="str">
        <f t="shared" si="37"/>
        <v/>
      </c>
      <c r="L101" s="52"/>
    </row>
    <row r="102" spans="1:12" x14ac:dyDescent="0.25">
      <c r="A102" s="37"/>
      <c r="B102" s="75" t="s">
        <v>46</v>
      </c>
      <c r="C102" s="75" t="s">
        <v>45</v>
      </c>
      <c r="D102" s="77" t="s">
        <v>106</v>
      </c>
      <c r="E102" s="52">
        <v>5939.9999999999991</v>
      </c>
      <c r="F102" s="52">
        <v>8</v>
      </c>
      <c r="G102" s="72">
        <f t="shared" si="42"/>
        <v>47520</v>
      </c>
      <c r="H102" s="461"/>
      <c r="I102" s="73">
        <f t="shared" si="43"/>
        <v>0</v>
      </c>
      <c r="J102" s="465">
        <v>2080</v>
      </c>
      <c r="K102" s="78" t="str">
        <f t="shared" si="37"/>
        <v/>
      </c>
      <c r="L102" s="52"/>
    </row>
    <row r="103" spans="1:12" x14ac:dyDescent="0.25">
      <c r="A103" s="37"/>
      <c r="B103" s="75" t="s">
        <v>48</v>
      </c>
      <c r="C103" s="75" t="s">
        <v>47</v>
      </c>
      <c r="D103" s="77" t="s">
        <v>106</v>
      </c>
      <c r="E103" s="52">
        <v>4952</v>
      </c>
      <c r="F103" s="52">
        <v>25</v>
      </c>
      <c r="G103" s="72">
        <f t="shared" si="42"/>
        <v>123800</v>
      </c>
      <c r="H103" s="461"/>
      <c r="I103" s="73">
        <f t="shared" si="43"/>
        <v>0</v>
      </c>
      <c r="J103" s="465">
        <v>2080</v>
      </c>
      <c r="K103" s="78" t="str">
        <f t="shared" si="37"/>
        <v/>
      </c>
      <c r="L103" s="52"/>
    </row>
    <row r="104" spans="1:12" x14ac:dyDescent="0.25">
      <c r="A104" s="37"/>
      <c r="B104" s="75" t="s">
        <v>50</v>
      </c>
      <c r="C104" s="75" t="s">
        <v>49</v>
      </c>
      <c r="D104" s="77" t="s">
        <v>106</v>
      </c>
      <c r="E104" s="52">
        <v>240</v>
      </c>
      <c r="F104" s="52">
        <v>175</v>
      </c>
      <c r="G104" s="72">
        <f t="shared" si="42"/>
        <v>42000</v>
      </c>
      <c r="H104" s="461"/>
      <c r="I104" s="73">
        <f t="shared" si="43"/>
        <v>0</v>
      </c>
      <c r="J104" s="465">
        <v>2080</v>
      </c>
      <c r="K104" s="78" t="str">
        <f t="shared" si="37"/>
        <v/>
      </c>
      <c r="L104" s="52"/>
    </row>
    <row r="105" spans="1:12" x14ac:dyDescent="0.25">
      <c r="A105" s="37"/>
      <c r="B105" s="75" t="s">
        <v>137</v>
      </c>
      <c r="C105" s="75" t="s">
        <v>136</v>
      </c>
      <c r="D105" s="77" t="s">
        <v>106</v>
      </c>
      <c r="E105" s="52">
        <v>0</v>
      </c>
      <c r="F105" s="52">
        <v>0</v>
      </c>
      <c r="G105" s="72">
        <f t="shared" ref="G105" si="44">ROUND(E105*F105,2)</f>
        <v>0</v>
      </c>
      <c r="H105" s="71">
        <v>0</v>
      </c>
      <c r="I105" s="73">
        <f t="shared" ref="I105" si="45">ROUND(E105*H105,2)</f>
        <v>0</v>
      </c>
      <c r="J105" s="465">
        <v>2080</v>
      </c>
      <c r="K105" s="78" t="str">
        <f t="shared" si="37"/>
        <v/>
      </c>
      <c r="L105" s="52"/>
    </row>
    <row r="106" spans="1:12" x14ac:dyDescent="0.25">
      <c r="A106" s="37" t="s">
        <v>117</v>
      </c>
      <c r="B106" s="79"/>
      <c r="C106" s="80" t="s">
        <v>51</v>
      </c>
      <c r="D106" s="77"/>
      <c r="G106" s="72"/>
      <c r="H106" s="71"/>
      <c r="I106" s="73"/>
      <c r="J106" s="465">
        <v>2080</v>
      </c>
      <c r="K106" s="78" t="str">
        <f t="shared" si="37"/>
        <v/>
      </c>
      <c r="L106" s="52"/>
    </row>
    <row r="107" spans="1:12" x14ac:dyDescent="0.25">
      <c r="A107" s="37"/>
      <c r="B107" s="79" t="s">
        <v>53</v>
      </c>
      <c r="C107" s="79" t="s">
        <v>52</v>
      </c>
      <c r="D107" s="77" t="s">
        <v>106</v>
      </c>
      <c r="E107" s="52">
        <v>480</v>
      </c>
      <c r="F107" s="52">
        <v>90</v>
      </c>
      <c r="G107" s="72">
        <f t="shared" si="42"/>
        <v>43200</v>
      </c>
      <c r="H107" s="461"/>
      <c r="I107" s="73">
        <f t="shared" si="43"/>
        <v>0</v>
      </c>
      <c r="J107" s="465">
        <v>2080</v>
      </c>
      <c r="K107" s="78" t="str">
        <f t="shared" si="37"/>
        <v/>
      </c>
      <c r="L107" s="52"/>
    </row>
    <row r="108" spans="1:12" x14ac:dyDescent="0.25">
      <c r="A108" s="37"/>
      <c r="B108" s="79" t="s">
        <v>55</v>
      </c>
      <c r="C108" s="79" t="s">
        <v>54</v>
      </c>
      <c r="D108" s="77" t="s">
        <v>106</v>
      </c>
      <c r="E108" s="52">
        <v>0</v>
      </c>
      <c r="F108" s="52">
        <v>0</v>
      </c>
      <c r="G108" s="72">
        <f t="shared" ref="G108" si="46">ROUND(E108*F108,2)</f>
        <v>0</v>
      </c>
      <c r="H108" s="71">
        <v>0</v>
      </c>
      <c r="I108" s="73">
        <f t="shared" ref="I108" si="47">ROUND(E108*H108,2)</f>
        <v>0</v>
      </c>
      <c r="J108" s="465">
        <v>2080</v>
      </c>
      <c r="K108" s="78" t="str">
        <f t="shared" si="37"/>
        <v/>
      </c>
      <c r="L108" s="52"/>
    </row>
    <row r="109" spans="1:12" x14ac:dyDescent="0.25">
      <c r="A109" s="37"/>
      <c r="B109" s="79" t="s">
        <v>57</v>
      </c>
      <c r="C109" s="79" t="s">
        <v>56</v>
      </c>
      <c r="D109" s="77" t="s">
        <v>106</v>
      </c>
      <c r="E109" s="52">
        <v>240</v>
      </c>
      <c r="F109" s="52">
        <v>80</v>
      </c>
      <c r="G109" s="72">
        <f t="shared" si="42"/>
        <v>19200</v>
      </c>
      <c r="H109" s="461"/>
      <c r="I109" s="73">
        <f t="shared" si="43"/>
        <v>0</v>
      </c>
      <c r="J109" s="465">
        <v>2080</v>
      </c>
      <c r="K109" s="78" t="str">
        <f t="shared" si="37"/>
        <v/>
      </c>
      <c r="L109" s="52"/>
    </row>
    <row r="110" spans="1:12" x14ac:dyDescent="0.25">
      <c r="A110" s="37"/>
      <c r="B110" s="79" t="s">
        <v>59</v>
      </c>
      <c r="C110" s="79" t="s">
        <v>58</v>
      </c>
      <c r="D110" s="77" t="s">
        <v>106</v>
      </c>
      <c r="E110" s="52">
        <v>0</v>
      </c>
      <c r="F110" s="52">
        <v>0</v>
      </c>
      <c r="G110" s="72">
        <f t="shared" ref="G110:G111" si="48">ROUND(E110*F110,2)</f>
        <v>0</v>
      </c>
      <c r="H110" s="71">
        <v>0</v>
      </c>
      <c r="I110" s="73">
        <f t="shared" ref="I110:I111" si="49">ROUND(E110*H110,2)</f>
        <v>0</v>
      </c>
      <c r="J110" s="465">
        <v>2080</v>
      </c>
      <c r="K110" s="78" t="str">
        <f t="shared" si="37"/>
        <v/>
      </c>
      <c r="L110" s="52"/>
    </row>
    <row r="111" spans="1:12" x14ac:dyDescent="0.25">
      <c r="A111" s="37"/>
      <c r="B111" s="79" t="s">
        <v>61</v>
      </c>
      <c r="C111" s="79" t="s">
        <v>60</v>
      </c>
      <c r="D111" s="77" t="s">
        <v>106</v>
      </c>
      <c r="E111" s="52">
        <v>0</v>
      </c>
      <c r="F111" s="52">
        <v>0</v>
      </c>
      <c r="G111" s="72">
        <f t="shared" si="48"/>
        <v>0</v>
      </c>
      <c r="H111" s="71">
        <v>0</v>
      </c>
      <c r="I111" s="73">
        <f t="shared" si="49"/>
        <v>0</v>
      </c>
      <c r="J111" s="465">
        <v>2080</v>
      </c>
      <c r="K111" s="78" t="str">
        <f t="shared" si="37"/>
        <v/>
      </c>
      <c r="L111" s="52"/>
    </row>
    <row r="112" spans="1:12" x14ac:dyDescent="0.25">
      <c r="A112" s="37"/>
      <c r="B112" s="79" t="s">
        <v>63</v>
      </c>
      <c r="C112" s="79" t="s">
        <v>62</v>
      </c>
      <c r="D112" s="77" t="s">
        <v>106</v>
      </c>
      <c r="E112" s="52">
        <v>48</v>
      </c>
      <c r="F112" s="52">
        <v>50</v>
      </c>
      <c r="G112" s="72">
        <f t="shared" si="42"/>
        <v>2400</v>
      </c>
      <c r="H112" s="461"/>
      <c r="I112" s="73">
        <f t="shared" si="43"/>
        <v>0</v>
      </c>
      <c r="J112" s="465">
        <v>2080</v>
      </c>
      <c r="K112" s="78" t="str">
        <f t="shared" si="37"/>
        <v/>
      </c>
      <c r="L112" s="52"/>
    </row>
    <row r="113" spans="1:12" x14ac:dyDescent="0.25">
      <c r="A113" s="37"/>
      <c r="B113" s="79" t="s">
        <v>64</v>
      </c>
      <c r="C113" s="79" t="s">
        <v>140</v>
      </c>
      <c r="D113" s="77" t="s">
        <v>106</v>
      </c>
      <c r="E113" s="52">
        <v>48</v>
      </c>
      <c r="F113" s="52">
        <v>50</v>
      </c>
      <c r="G113" s="72">
        <f t="shared" si="42"/>
        <v>2400</v>
      </c>
      <c r="H113" s="461"/>
      <c r="I113" s="73">
        <f t="shared" si="43"/>
        <v>0</v>
      </c>
      <c r="J113" s="465">
        <v>2080</v>
      </c>
      <c r="K113" s="78" t="str">
        <f t="shared" si="37"/>
        <v/>
      </c>
      <c r="L113" s="52"/>
    </row>
    <row r="114" spans="1:12" ht="30" x14ac:dyDescent="0.25">
      <c r="A114" s="37"/>
      <c r="B114" s="79" t="s">
        <v>66</v>
      </c>
      <c r="C114" s="81" t="s">
        <v>65</v>
      </c>
      <c r="D114" s="77" t="s">
        <v>106</v>
      </c>
      <c r="E114" s="52">
        <v>160</v>
      </c>
      <c r="F114" s="52">
        <v>100</v>
      </c>
      <c r="G114" s="72">
        <f t="shared" si="42"/>
        <v>16000</v>
      </c>
      <c r="H114" s="461"/>
      <c r="I114" s="73">
        <f t="shared" si="43"/>
        <v>0</v>
      </c>
      <c r="J114" s="465">
        <v>2080</v>
      </c>
      <c r="K114" s="78" t="str">
        <f t="shared" si="37"/>
        <v/>
      </c>
      <c r="L114" s="52"/>
    </row>
    <row r="115" spans="1:12" ht="30" x14ac:dyDescent="0.25">
      <c r="A115" s="37"/>
      <c r="B115" s="79" t="s">
        <v>68</v>
      </c>
      <c r="C115" s="81" t="s">
        <v>67</v>
      </c>
      <c r="D115" s="77" t="s">
        <v>106</v>
      </c>
      <c r="E115" s="52">
        <v>0</v>
      </c>
      <c r="F115" s="52">
        <v>0</v>
      </c>
      <c r="G115" s="72">
        <f t="shared" ref="G115" si="50">ROUND(E115*F115,2)</f>
        <v>0</v>
      </c>
      <c r="H115" s="71">
        <v>0</v>
      </c>
      <c r="I115" s="73">
        <f t="shared" ref="I115" si="51">ROUND(E115*H115,2)</f>
        <v>0</v>
      </c>
      <c r="J115" s="465">
        <v>2080</v>
      </c>
      <c r="K115" s="78" t="str">
        <f t="shared" si="37"/>
        <v/>
      </c>
      <c r="L115" s="52"/>
    </row>
    <row r="116" spans="1:12" x14ac:dyDescent="0.25">
      <c r="A116" s="37"/>
      <c r="B116" s="79" t="s">
        <v>70</v>
      </c>
      <c r="C116" s="79" t="s">
        <v>69</v>
      </c>
      <c r="D116" s="77" t="s">
        <v>106</v>
      </c>
      <c r="E116" s="52">
        <v>480</v>
      </c>
      <c r="F116" s="52">
        <v>50</v>
      </c>
      <c r="G116" s="72">
        <f t="shared" si="42"/>
        <v>24000</v>
      </c>
      <c r="H116" s="461"/>
      <c r="I116" s="73">
        <f t="shared" si="43"/>
        <v>0</v>
      </c>
      <c r="J116" s="465">
        <v>2080</v>
      </c>
      <c r="K116" s="78" t="str">
        <f t="shared" si="37"/>
        <v/>
      </c>
      <c r="L116" s="52"/>
    </row>
    <row r="117" spans="1:12" ht="30" x14ac:dyDescent="0.25">
      <c r="A117" s="37"/>
      <c r="B117" s="79" t="s">
        <v>72</v>
      </c>
      <c r="C117" s="81" t="s">
        <v>71</v>
      </c>
      <c r="D117" s="77" t="s">
        <v>106</v>
      </c>
      <c r="E117" s="52">
        <v>120</v>
      </c>
      <c r="F117" s="52">
        <v>40</v>
      </c>
      <c r="G117" s="72">
        <f t="shared" si="42"/>
        <v>4800</v>
      </c>
      <c r="H117" s="461"/>
      <c r="I117" s="73">
        <f t="shared" si="43"/>
        <v>0</v>
      </c>
      <c r="J117" s="465">
        <v>2080</v>
      </c>
      <c r="K117" s="78" t="str">
        <f t="shared" si="37"/>
        <v/>
      </c>
      <c r="L117" s="52"/>
    </row>
    <row r="118" spans="1:12" x14ac:dyDescent="0.25">
      <c r="A118" s="37"/>
      <c r="B118" s="79" t="s">
        <v>73</v>
      </c>
      <c r="C118" s="79" t="s">
        <v>141</v>
      </c>
      <c r="D118" s="77" t="s">
        <v>106</v>
      </c>
      <c r="E118" s="52">
        <v>240</v>
      </c>
      <c r="F118" s="52">
        <v>50</v>
      </c>
      <c r="G118" s="72">
        <f t="shared" si="42"/>
        <v>12000</v>
      </c>
      <c r="H118" s="461"/>
      <c r="I118" s="73">
        <f t="shared" si="43"/>
        <v>0</v>
      </c>
      <c r="J118" s="465">
        <v>2080</v>
      </c>
      <c r="K118" s="78" t="str">
        <f t="shared" si="37"/>
        <v/>
      </c>
      <c r="L118" s="52"/>
    </row>
    <row r="119" spans="1:12" x14ac:dyDescent="0.25">
      <c r="A119" s="37"/>
      <c r="B119" s="79" t="s">
        <v>75</v>
      </c>
      <c r="C119" s="79" t="s">
        <v>74</v>
      </c>
      <c r="D119" s="77" t="s">
        <v>106</v>
      </c>
      <c r="E119" s="52">
        <v>120</v>
      </c>
      <c r="F119" s="52">
        <v>20</v>
      </c>
      <c r="G119" s="72">
        <f t="shared" si="42"/>
        <v>2400</v>
      </c>
      <c r="H119" s="461"/>
      <c r="I119" s="73">
        <f t="shared" si="43"/>
        <v>0</v>
      </c>
      <c r="J119" s="465">
        <v>2080</v>
      </c>
      <c r="K119" s="78" t="str">
        <f t="shared" si="37"/>
        <v/>
      </c>
      <c r="L119" s="52"/>
    </row>
    <row r="120" spans="1:12" x14ac:dyDescent="0.25">
      <c r="A120" s="37"/>
      <c r="B120" s="79" t="s">
        <v>143</v>
      </c>
      <c r="C120" s="79" t="s">
        <v>142</v>
      </c>
      <c r="D120" s="77" t="s">
        <v>106</v>
      </c>
      <c r="E120" s="52">
        <v>0</v>
      </c>
      <c r="F120" s="52">
        <v>0</v>
      </c>
      <c r="G120" s="72">
        <f t="shared" ref="G120" si="52">ROUND(E120*F120,2)</f>
        <v>0</v>
      </c>
      <c r="H120" s="71">
        <v>0</v>
      </c>
      <c r="I120" s="73">
        <f t="shared" ref="I120" si="53">ROUND(E120*H120,2)</f>
        <v>0</v>
      </c>
      <c r="J120" s="465">
        <v>2080</v>
      </c>
      <c r="K120" s="78" t="str">
        <f t="shared" si="37"/>
        <v/>
      </c>
      <c r="L120" s="52"/>
    </row>
    <row r="121" spans="1:12" x14ac:dyDescent="0.25">
      <c r="A121" s="37"/>
      <c r="B121" s="79" t="s">
        <v>77</v>
      </c>
      <c r="C121" s="79" t="s">
        <v>76</v>
      </c>
      <c r="D121" s="77" t="s">
        <v>106</v>
      </c>
      <c r="E121" s="52">
        <v>2880</v>
      </c>
      <c r="F121" s="52">
        <v>25</v>
      </c>
      <c r="G121" s="72">
        <f t="shared" si="42"/>
        <v>72000</v>
      </c>
      <c r="H121" s="461"/>
      <c r="I121" s="73">
        <f t="shared" si="43"/>
        <v>0</v>
      </c>
      <c r="J121" s="465">
        <v>2080</v>
      </c>
      <c r="K121" s="78" t="str">
        <f t="shared" si="37"/>
        <v/>
      </c>
      <c r="L121" s="52"/>
    </row>
    <row r="122" spans="1:12" x14ac:dyDescent="0.25">
      <c r="A122" s="37"/>
      <c r="B122" s="79" t="s">
        <v>79</v>
      </c>
      <c r="C122" s="79" t="s">
        <v>78</v>
      </c>
      <c r="D122" s="77" t="s">
        <v>106</v>
      </c>
      <c r="E122" s="52">
        <v>0</v>
      </c>
      <c r="F122" s="52">
        <v>0</v>
      </c>
      <c r="G122" s="72">
        <f t="shared" ref="G122" si="54">ROUND(E122*F122,2)</f>
        <v>0</v>
      </c>
      <c r="H122" s="71">
        <v>0</v>
      </c>
      <c r="I122" s="73">
        <f t="shared" ref="I122" si="55">ROUND(E122*H122,2)</f>
        <v>0</v>
      </c>
      <c r="J122" s="465">
        <v>2080</v>
      </c>
      <c r="K122" s="78" t="str">
        <f t="shared" si="37"/>
        <v/>
      </c>
      <c r="L122" s="52"/>
    </row>
    <row r="123" spans="1:12" x14ac:dyDescent="0.25">
      <c r="A123" s="37"/>
      <c r="B123" s="79" t="s">
        <v>80</v>
      </c>
      <c r="C123" s="79" t="s">
        <v>152</v>
      </c>
      <c r="D123" s="77" t="s">
        <v>106</v>
      </c>
      <c r="E123" s="52">
        <v>2000</v>
      </c>
      <c r="F123" s="52">
        <v>15</v>
      </c>
      <c r="G123" s="72">
        <f t="shared" si="42"/>
        <v>30000</v>
      </c>
      <c r="H123" s="461"/>
      <c r="I123" s="73">
        <f t="shared" si="43"/>
        <v>0</v>
      </c>
      <c r="J123" s="465">
        <v>2080</v>
      </c>
      <c r="K123" s="78" t="str">
        <f t="shared" si="37"/>
        <v/>
      </c>
      <c r="L123" s="52"/>
    </row>
    <row r="124" spans="1:12" x14ac:dyDescent="0.25">
      <c r="A124" s="37" t="s">
        <v>118</v>
      </c>
      <c r="B124" s="82"/>
      <c r="C124" s="83" t="s">
        <v>190</v>
      </c>
      <c r="D124" s="77"/>
      <c r="G124" s="72"/>
      <c r="H124" s="71"/>
      <c r="I124" s="73"/>
      <c r="J124" s="465">
        <v>2080</v>
      </c>
      <c r="K124" s="78" t="str">
        <f t="shared" si="37"/>
        <v/>
      </c>
      <c r="L124" s="52"/>
    </row>
    <row r="125" spans="1:12" x14ac:dyDescent="0.25">
      <c r="A125" s="37"/>
      <c r="B125" s="82" t="s">
        <v>83</v>
      </c>
      <c r="C125" s="82" t="s">
        <v>82</v>
      </c>
      <c r="D125" s="77" t="s">
        <v>106</v>
      </c>
      <c r="E125" s="52">
        <v>0</v>
      </c>
      <c r="F125" s="52">
        <v>0</v>
      </c>
      <c r="G125" s="72">
        <f t="shared" ref="G125" si="56">ROUND(E125*F125,2)</f>
        <v>0</v>
      </c>
      <c r="H125" s="71">
        <v>0</v>
      </c>
      <c r="I125" s="73">
        <f t="shared" ref="I125" si="57">ROUND(E125*H125,2)</f>
        <v>0</v>
      </c>
      <c r="J125" s="465">
        <v>2080</v>
      </c>
      <c r="K125" s="78" t="str">
        <f t="shared" si="37"/>
        <v/>
      </c>
      <c r="L125" s="52"/>
    </row>
    <row r="126" spans="1:12" x14ac:dyDescent="0.25">
      <c r="A126" s="37"/>
      <c r="B126" s="82" t="s">
        <v>85</v>
      </c>
      <c r="C126" s="82" t="s">
        <v>84</v>
      </c>
      <c r="D126" s="77" t="s">
        <v>106</v>
      </c>
      <c r="E126" s="52">
        <v>240</v>
      </c>
      <c r="F126" s="52">
        <v>70</v>
      </c>
      <c r="G126" s="72">
        <f t="shared" si="42"/>
        <v>16800</v>
      </c>
      <c r="H126" s="461"/>
      <c r="I126" s="73">
        <f t="shared" si="43"/>
        <v>0</v>
      </c>
      <c r="J126" s="465">
        <v>2080</v>
      </c>
      <c r="K126" s="78" t="str">
        <f t="shared" si="37"/>
        <v/>
      </c>
      <c r="L126" s="52"/>
    </row>
    <row r="127" spans="1:12" ht="45" x14ac:dyDescent="0.25">
      <c r="B127" s="466" t="s">
        <v>87</v>
      </c>
      <c r="C127" s="467" t="s">
        <v>189</v>
      </c>
      <c r="D127" s="77" t="s">
        <v>106</v>
      </c>
      <c r="E127" s="52">
        <v>720</v>
      </c>
      <c r="F127" s="52">
        <v>10</v>
      </c>
      <c r="G127" s="72">
        <f t="shared" si="42"/>
        <v>7200</v>
      </c>
      <c r="H127" s="461"/>
      <c r="I127" s="73">
        <f t="shared" si="43"/>
        <v>0</v>
      </c>
      <c r="J127" s="465">
        <v>2080</v>
      </c>
      <c r="K127" s="78" t="str">
        <f t="shared" si="37"/>
        <v/>
      </c>
      <c r="L127" s="52"/>
    </row>
    <row r="128" spans="1:12" ht="30" x14ac:dyDescent="0.25">
      <c r="B128" s="84" t="s">
        <v>89</v>
      </c>
      <c r="C128" s="85" t="s">
        <v>88</v>
      </c>
      <c r="D128" s="77" t="s">
        <v>106</v>
      </c>
      <c r="E128" s="52">
        <v>4800</v>
      </c>
      <c r="F128" s="52">
        <v>2</v>
      </c>
      <c r="G128" s="72">
        <f t="shared" si="42"/>
        <v>9600</v>
      </c>
      <c r="H128" s="461"/>
      <c r="I128" s="73">
        <f t="shared" si="43"/>
        <v>0</v>
      </c>
      <c r="J128" s="465">
        <v>2080</v>
      </c>
      <c r="K128" s="78" t="str">
        <f t="shared" si="37"/>
        <v/>
      </c>
      <c r="L128" s="52"/>
    </row>
    <row r="129" spans="1:12" x14ac:dyDescent="0.25">
      <c r="B129" s="84" t="s">
        <v>91</v>
      </c>
      <c r="C129" s="86" t="s">
        <v>90</v>
      </c>
      <c r="D129" s="77" t="s">
        <v>106</v>
      </c>
      <c r="E129" s="52">
        <v>4800</v>
      </c>
      <c r="F129" s="52">
        <v>2</v>
      </c>
      <c r="G129" s="72">
        <f t="shared" si="42"/>
        <v>9600</v>
      </c>
      <c r="H129" s="461"/>
      <c r="I129" s="73">
        <f t="shared" si="43"/>
        <v>0</v>
      </c>
      <c r="J129" s="465">
        <v>2080</v>
      </c>
      <c r="K129" s="78" t="str">
        <f t="shared" si="37"/>
        <v/>
      </c>
      <c r="L129" s="52"/>
    </row>
    <row r="130" spans="1:12" ht="30" x14ac:dyDescent="0.25">
      <c r="B130" s="84" t="s">
        <v>93</v>
      </c>
      <c r="C130" s="85" t="s">
        <v>153</v>
      </c>
      <c r="D130" s="77" t="s">
        <v>106</v>
      </c>
      <c r="E130" s="52">
        <v>2000</v>
      </c>
      <c r="F130" s="52">
        <v>25</v>
      </c>
      <c r="G130" s="72">
        <f t="shared" si="42"/>
        <v>50000</v>
      </c>
      <c r="H130" s="461"/>
      <c r="I130" s="73">
        <f t="shared" si="43"/>
        <v>0</v>
      </c>
      <c r="J130" s="465">
        <v>2080</v>
      </c>
      <c r="K130" s="78" t="str">
        <f t="shared" si="37"/>
        <v/>
      </c>
      <c r="L130" s="52"/>
    </row>
    <row r="131" spans="1:12" x14ac:dyDescent="0.25">
      <c r="B131" s="84" t="s">
        <v>94</v>
      </c>
      <c r="C131" s="86" t="s">
        <v>107</v>
      </c>
      <c r="D131" s="77" t="s">
        <v>106</v>
      </c>
      <c r="E131" s="52">
        <v>240</v>
      </c>
      <c r="F131" s="52">
        <v>35</v>
      </c>
      <c r="G131" s="72">
        <f t="shared" si="42"/>
        <v>8400</v>
      </c>
      <c r="H131" s="461"/>
      <c r="I131" s="73">
        <f t="shared" si="43"/>
        <v>0</v>
      </c>
      <c r="J131" s="465">
        <v>2080</v>
      </c>
      <c r="K131" s="78" t="str">
        <f t="shared" si="37"/>
        <v/>
      </c>
      <c r="L131" s="52"/>
    </row>
    <row r="132" spans="1:12" x14ac:dyDescent="0.25">
      <c r="A132" s="37" t="s">
        <v>119</v>
      </c>
      <c r="B132" s="89"/>
      <c r="C132" s="90" t="s">
        <v>95</v>
      </c>
      <c r="D132" s="77"/>
      <c r="G132" s="72"/>
      <c r="H132" s="71"/>
      <c r="I132" s="73"/>
      <c r="J132" s="465">
        <v>2080</v>
      </c>
      <c r="K132" s="78" t="str">
        <f t="shared" si="37"/>
        <v/>
      </c>
      <c r="L132" s="52"/>
    </row>
    <row r="133" spans="1:12" x14ac:dyDescent="0.25">
      <c r="B133" s="91" t="s">
        <v>97</v>
      </c>
      <c r="C133" s="91" t="s">
        <v>96</v>
      </c>
      <c r="D133" s="77" t="s">
        <v>106</v>
      </c>
      <c r="E133" s="52">
        <v>0</v>
      </c>
      <c r="F133" s="52">
        <v>0</v>
      </c>
      <c r="G133" s="72">
        <f t="shared" ref="G133" si="58">ROUND(E133*F133,2)</f>
        <v>0</v>
      </c>
      <c r="H133" s="71">
        <v>0</v>
      </c>
      <c r="I133" s="73">
        <f t="shared" si="43"/>
        <v>0</v>
      </c>
      <c r="J133" s="465">
        <v>2080</v>
      </c>
      <c r="K133" s="78" t="str">
        <f t="shared" si="37"/>
        <v/>
      </c>
      <c r="L133" s="52"/>
    </row>
    <row r="134" spans="1:12" x14ac:dyDescent="0.25">
      <c r="B134" s="91" t="s">
        <v>99</v>
      </c>
      <c r="C134" s="91" t="s">
        <v>98</v>
      </c>
      <c r="D134" s="77" t="s">
        <v>106</v>
      </c>
      <c r="E134" s="52">
        <v>0</v>
      </c>
      <c r="F134" s="52">
        <v>0</v>
      </c>
      <c r="G134" s="72">
        <f t="shared" ref="G134:G136" si="59">ROUND(E134*F134,2)</f>
        <v>0</v>
      </c>
      <c r="H134" s="71">
        <v>0</v>
      </c>
      <c r="I134" s="73">
        <f t="shared" si="43"/>
        <v>0</v>
      </c>
      <c r="J134" s="465">
        <v>2080</v>
      </c>
      <c r="K134" s="78" t="str">
        <f t="shared" si="37"/>
        <v/>
      </c>
      <c r="L134" s="52"/>
    </row>
    <row r="135" spans="1:12" x14ac:dyDescent="0.25">
      <c r="B135" s="91" t="s">
        <v>101</v>
      </c>
      <c r="C135" s="91" t="s">
        <v>100</v>
      </c>
      <c r="D135" s="77" t="s">
        <v>106</v>
      </c>
      <c r="E135" s="52">
        <v>0</v>
      </c>
      <c r="F135" s="52">
        <v>0</v>
      </c>
      <c r="G135" s="72">
        <f t="shared" si="59"/>
        <v>0</v>
      </c>
      <c r="H135" s="71">
        <v>0</v>
      </c>
      <c r="I135" s="73">
        <f t="shared" si="43"/>
        <v>0</v>
      </c>
      <c r="J135" s="465">
        <v>2080</v>
      </c>
      <c r="K135" s="78" t="str">
        <f t="shared" si="37"/>
        <v/>
      </c>
      <c r="L135" s="52"/>
    </row>
    <row r="136" spans="1:12" ht="30" x14ac:dyDescent="0.25">
      <c r="B136" s="91" t="s">
        <v>102</v>
      </c>
      <c r="C136" s="92" t="s">
        <v>147</v>
      </c>
      <c r="D136" s="77" t="s">
        <v>106</v>
      </c>
      <c r="E136" s="52">
        <v>0</v>
      </c>
      <c r="F136" s="52">
        <v>0</v>
      </c>
      <c r="G136" s="72">
        <f t="shared" si="59"/>
        <v>0</v>
      </c>
      <c r="H136" s="71">
        <v>0</v>
      </c>
      <c r="I136" s="73">
        <f t="shared" si="43"/>
        <v>0</v>
      </c>
      <c r="J136" s="465">
        <v>2080</v>
      </c>
      <c r="K136" s="78" t="str">
        <f t="shared" si="37"/>
        <v/>
      </c>
      <c r="L136" s="52"/>
    </row>
    <row r="137" spans="1:12" x14ac:dyDescent="0.25">
      <c r="A137" s="37" t="s">
        <v>159</v>
      </c>
      <c r="C137" s="74" t="s">
        <v>133</v>
      </c>
      <c r="G137" s="72"/>
      <c r="H137" s="71"/>
      <c r="I137" s="73"/>
      <c r="J137" s="465"/>
      <c r="K137" s="78" t="str">
        <f t="shared" si="37"/>
        <v/>
      </c>
      <c r="L137" s="52"/>
    </row>
    <row r="138" spans="1:12" x14ac:dyDescent="0.25">
      <c r="A138" s="37" t="s">
        <v>160</v>
      </c>
      <c r="B138" s="75"/>
      <c r="C138" s="76" t="s">
        <v>38</v>
      </c>
      <c r="D138" s="37"/>
      <c r="G138" s="72"/>
      <c r="H138" s="71"/>
      <c r="I138" s="73"/>
      <c r="K138" s="78" t="str">
        <f t="shared" si="37"/>
        <v/>
      </c>
      <c r="L138" s="52"/>
    </row>
    <row r="139" spans="1:12" x14ac:dyDescent="0.25">
      <c r="B139" s="75" t="s">
        <v>40</v>
      </c>
      <c r="C139" s="75" t="s">
        <v>39</v>
      </c>
      <c r="D139" s="77" t="s">
        <v>106</v>
      </c>
      <c r="E139" s="52">
        <v>51308</v>
      </c>
      <c r="F139" s="52">
        <v>12</v>
      </c>
      <c r="G139" s="72">
        <f t="shared" ref="G139:G204" si="60">ROUND(E139*F139,2)</f>
        <v>615696</v>
      </c>
      <c r="H139" s="461"/>
      <c r="I139" s="73">
        <f t="shared" ref="I139:I202" si="61">ROUND(E139*H139,2)</f>
        <v>0</v>
      </c>
      <c r="J139" s="465">
        <v>2085</v>
      </c>
      <c r="K139" s="78" t="str">
        <f t="shared" si="37"/>
        <v/>
      </c>
      <c r="L139" s="52"/>
    </row>
    <row r="140" spans="1:12" x14ac:dyDescent="0.25">
      <c r="B140" s="75" t="s">
        <v>42</v>
      </c>
      <c r="C140" s="75" t="s">
        <v>41</v>
      </c>
      <c r="D140" s="77" t="s">
        <v>106</v>
      </c>
      <c r="E140" s="52">
        <v>151046</v>
      </c>
      <c r="F140" s="52">
        <v>16</v>
      </c>
      <c r="G140" s="72">
        <f t="shared" si="60"/>
        <v>2416736</v>
      </c>
      <c r="H140" s="461"/>
      <c r="I140" s="73">
        <f t="shared" si="61"/>
        <v>0</v>
      </c>
      <c r="J140" s="465">
        <v>2085</v>
      </c>
      <c r="K140" s="78" t="str">
        <f t="shared" si="37"/>
        <v/>
      </c>
      <c r="L140" s="52"/>
    </row>
    <row r="141" spans="1:12" x14ac:dyDescent="0.25">
      <c r="B141" s="75" t="s">
        <v>44</v>
      </c>
      <c r="C141" s="75" t="s">
        <v>43</v>
      </c>
      <c r="D141" s="77" t="s">
        <v>106</v>
      </c>
      <c r="E141" s="52">
        <v>12603</v>
      </c>
      <c r="F141" s="52">
        <v>21</v>
      </c>
      <c r="G141" s="72">
        <f t="shared" si="60"/>
        <v>264663</v>
      </c>
      <c r="H141" s="461"/>
      <c r="I141" s="73">
        <f t="shared" si="61"/>
        <v>0</v>
      </c>
      <c r="J141" s="465">
        <v>2085</v>
      </c>
      <c r="K141" s="78" t="str">
        <f t="shared" si="37"/>
        <v/>
      </c>
      <c r="L141" s="52"/>
    </row>
    <row r="142" spans="1:12" x14ac:dyDescent="0.25">
      <c r="B142" s="75" t="s">
        <v>46</v>
      </c>
      <c r="C142" s="75" t="s">
        <v>45</v>
      </c>
      <c r="D142" s="77" t="s">
        <v>106</v>
      </c>
      <c r="E142" s="52">
        <v>18904</v>
      </c>
      <c r="F142" s="52">
        <v>10</v>
      </c>
      <c r="G142" s="72">
        <f t="shared" si="60"/>
        <v>189040</v>
      </c>
      <c r="H142" s="461"/>
      <c r="I142" s="73">
        <f t="shared" si="61"/>
        <v>0</v>
      </c>
      <c r="J142" s="465">
        <v>2085</v>
      </c>
      <c r="K142" s="78" t="str">
        <f t="shared" si="37"/>
        <v/>
      </c>
      <c r="L142" s="52"/>
    </row>
    <row r="143" spans="1:12" x14ac:dyDescent="0.25">
      <c r="B143" s="75" t="s">
        <v>48</v>
      </c>
      <c r="C143" s="75" t="s">
        <v>47</v>
      </c>
      <c r="D143" s="77" t="s">
        <v>106</v>
      </c>
      <c r="E143" s="52">
        <v>14108</v>
      </c>
      <c r="F143" s="52">
        <v>27</v>
      </c>
      <c r="G143" s="72">
        <f t="shared" si="60"/>
        <v>380916</v>
      </c>
      <c r="H143" s="461"/>
      <c r="I143" s="73">
        <f t="shared" si="61"/>
        <v>0</v>
      </c>
      <c r="J143" s="465">
        <v>2085</v>
      </c>
      <c r="K143" s="78" t="str">
        <f t="shared" si="37"/>
        <v/>
      </c>
      <c r="L143" s="52"/>
    </row>
    <row r="144" spans="1:12" x14ac:dyDescent="0.25">
      <c r="B144" s="75" t="s">
        <v>50</v>
      </c>
      <c r="C144" s="75" t="s">
        <v>49</v>
      </c>
      <c r="D144" s="77" t="s">
        <v>106</v>
      </c>
      <c r="E144" s="52">
        <v>760</v>
      </c>
      <c r="F144" s="52">
        <v>200</v>
      </c>
      <c r="G144" s="72">
        <f t="shared" si="60"/>
        <v>152000</v>
      </c>
      <c r="H144" s="461"/>
      <c r="I144" s="73">
        <f t="shared" si="61"/>
        <v>0</v>
      </c>
      <c r="J144" s="465">
        <v>2085</v>
      </c>
      <c r="K144" s="78" t="str">
        <f t="shared" ref="K144:K207" si="62">+IF(H144&gt;F144,"Importe superior a importe máximo","")</f>
        <v/>
      </c>
      <c r="L144" s="52"/>
    </row>
    <row r="145" spans="1:12" x14ac:dyDescent="0.25">
      <c r="B145" s="75" t="s">
        <v>137</v>
      </c>
      <c r="C145" s="75" t="s">
        <v>136</v>
      </c>
      <c r="D145" s="77" t="s">
        <v>106</v>
      </c>
      <c r="E145" s="52">
        <v>0</v>
      </c>
      <c r="F145" s="52">
        <v>0</v>
      </c>
      <c r="G145" s="72">
        <f t="shared" ref="G145" si="63">ROUND(E145*F145,2)</f>
        <v>0</v>
      </c>
      <c r="H145" s="71">
        <v>0</v>
      </c>
      <c r="I145" s="73">
        <f t="shared" si="61"/>
        <v>0</v>
      </c>
      <c r="J145" s="465">
        <v>2085</v>
      </c>
      <c r="K145" s="78" t="str">
        <f t="shared" si="62"/>
        <v/>
      </c>
      <c r="L145" s="52"/>
    </row>
    <row r="146" spans="1:12" x14ac:dyDescent="0.25">
      <c r="A146" s="37" t="s">
        <v>161</v>
      </c>
      <c r="B146" s="79"/>
      <c r="C146" s="80" t="s">
        <v>51</v>
      </c>
      <c r="D146" s="77"/>
      <c r="G146" s="72"/>
      <c r="H146" s="71"/>
      <c r="I146" s="73"/>
      <c r="J146" s="465">
        <v>2085</v>
      </c>
      <c r="K146" s="78" t="str">
        <f t="shared" si="62"/>
        <v/>
      </c>
      <c r="L146" s="52"/>
    </row>
    <row r="147" spans="1:12" x14ac:dyDescent="0.25">
      <c r="B147" s="79" t="s">
        <v>53</v>
      </c>
      <c r="C147" s="79" t="s">
        <v>52</v>
      </c>
      <c r="D147" s="77" t="s">
        <v>106</v>
      </c>
      <c r="E147" s="52">
        <v>114</v>
      </c>
      <c r="F147" s="52">
        <v>100</v>
      </c>
      <c r="G147" s="72">
        <f t="shared" si="60"/>
        <v>11400</v>
      </c>
      <c r="H147" s="461"/>
      <c r="I147" s="73">
        <f t="shared" si="61"/>
        <v>0</v>
      </c>
      <c r="J147" s="465">
        <v>2085</v>
      </c>
      <c r="K147" s="78" t="str">
        <f t="shared" si="62"/>
        <v/>
      </c>
      <c r="L147" s="52"/>
    </row>
    <row r="148" spans="1:12" x14ac:dyDescent="0.25">
      <c r="B148" s="79" t="s">
        <v>55</v>
      </c>
      <c r="C148" s="79" t="s">
        <v>54</v>
      </c>
      <c r="D148" s="77" t="s">
        <v>106</v>
      </c>
      <c r="E148" s="52">
        <v>0</v>
      </c>
      <c r="F148" s="52">
        <v>0</v>
      </c>
      <c r="G148" s="72">
        <f t="shared" ref="G148:G151" si="64">ROUND(E148*F148,2)</f>
        <v>0</v>
      </c>
      <c r="H148" s="71">
        <v>0</v>
      </c>
      <c r="I148" s="73">
        <f t="shared" si="61"/>
        <v>0</v>
      </c>
      <c r="J148" s="465">
        <v>2085</v>
      </c>
      <c r="K148" s="78" t="str">
        <f t="shared" si="62"/>
        <v/>
      </c>
      <c r="L148" s="52"/>
    </row>
    <row r="149" spans="1:12" x14ac:dyDescent="0.25">
      <c r="B149" s="79" t="s">
        <v>57</v>
      </c>
      <c r="C149" s="79" t="s">
        <v>56</v>
      </c>
      <c r="D149" s="77" t="s">
        <v>106</v>
      </c>
      <c r="E149" s="52">
        <v>0</v>
      </c>
      <c r="F149" s="52">
        <v>0</v>
      </c>
      <c r="G149" s="72">
        <f t="shared" si="64"/>
        <v>0</v>
      </c>
      <c r="H149" s="71">
        <v>0</v>
      </c>
      <c r="I149" s="73">
        <f t="shared" si="61"/>
        <v>0</v>
      </c>
      <c r="J149" s="465">
        <v>2085</v>
      </c>
      <c r="K149" s="78" t="str">
        <f t="shared" si="62"/>
        <v/>
      </c>
      <c r="L149" s="52"/>
    </row>
    <row r="150" spans="1:12" x14ac:dyDescent="0.25">
      <c r="B150" s="79" t="s">
        <v>59</v>
      </c>
      <c r="C150" s="79" t="s">
        <v>58</v>
      </c>
      <c r="D150" s="77" t="s">
        <v>106</v>
      </c>
      <c r="E150" s="52">
        <v>0</v>
      </c>
      <c r="F150" s="52">
        <v>0</v>
      </c>
      <c r="G150" s="72">
        <f t="shared" si="64"/>
        <v>0</v>
      </c>
      <c r="H150" s="71">
        <v>0</v>
      </c>
      <c r="I150" s="73">
        <f t="shared" si="61"/>
        <v>0</v>
      </c>
      <c r="J150" s="465">
        <v>2085</v>
      </c>
      <c r="K150" s="78" t="str">
        <f t="shared" si="62"/>
        <v/>
      </c>
      <c r="L150" s="52"/>
    </row>
    <row r="151" spans="1:12" x14ac:dyDescent="0.25">
      <c r="B151" s="79" t="s">
        <v>61</v>
      </c>
      <c r="C151" s="79" t="s">
        <v>60</v>
      </c>
      <c r="D151" s="77" t="s">
        <v>106</v>
      </c>
      <c r="E151" s="52">
        <v>0</v>
      </c>
      <c r="F151" s="52">
        <v>0</v>
      </c>
      <c r="G151" s="72">
        <f t="shared" si="64"/>
        <v>0</v>
      </c>
      <c r="H151" s="71">
        <v>0</v>
      </c>
      <c r="I151" s="73">
        <f t="shared" si="61"/>
        <v>0</v>
      </c>
      <c r="J151" s="465">
        <v>2085</v>
      </c>
      <c r="K151" s="78" t="str">
        <f t="shared" si="62"/>
        <v/>
      </c>
      <c r="L151" s="52"/>
    </row>
    <row r="152" spans="1:12" x14ac:dyDescent="0.25">
      <c r="B152" s="79" t="s">
        <v>63</v>
      </c>
      <c r="C152" s="79" t="s">
        <v>62</v>
      </c>
      <c r="D152" s="77" t="s">
        <v>106</v>
      </c>
      <c r="E152" s="52">
        <v>155</v>
      </c>
      <c r="F152" s="52">
        <v>75</v>
      </c>
      <c r="G152" s="72">
        <f t="shared" si="60"/>
        <v>11625</v>
      </c>
      <c r="H152" s="461"/>
      <c r="I152" s="73">
        <f t="shared" si="61"/>
        <v>0</v>
      </c>
      <c r="J152" s="465">
        <v>2085</v>
      </c>
      <c r="K152" s="78" t="str">
        <f t="shared" si="62"/>
        <v/>
      </c>
      <c r="L152" s="52"/>
    </row>
    <row r="153" spans="1:12" x14ac:dyDescent="0.25">
      <c r="B153" s="79" t="s">
        <v>64</v>
      </c>
      <c r="C153" s="79" t="s">
        <v>140</v>
      </c>
      <c r="D153" s="77" t="s">
        <v>106</v>
      </c>
      <c r="E153" s="52">
        <v>155</v>
      </c>
      <c r="F153" s="52">
        <v>75</v>
      </c>
      <c r="G153" s="72">
        <f t="shared" si="60"/>
        <v>11625</v>
      </c>
      <c r="H153" s="461"/>
      <c r="I153" s="73">
        <f t="shared" si="61"/>
        <v>0</v>
      </c>
      <c r="J153" s="465">
        <v>2085</v>
      </c>
      <c r="K153" s="78" t="str">
        <f t="shared" si="62"/>
        <v/>
      </c>
      <c r="L153" s="52"/>
    </row>
    <row r="154" spans="1:12" ht="30" x14ac:dyDescent="0.25">
      <c r="B154" s="79" t="s">
        <v>66</v>
      </c>
      <c r="C154" s="81" t="s">
        <v>65</v>
      </c>
      <c r="D154" s="77" t="s">
        <v>106</v>
      </c>
      <c r="E154" s="52">
        <v>0</v>
      </c>
      <c r="F154" s="52">
        <v>0</v>
      </c>
      <c r="G154" s="72">
        <f t="shared" ref="G154:G156" si="65">ROUND(E154*F154,2)</f>
        <v>0</v>
      </c>
      <c r="H154" s="71">
        <v>0</v>
      </c>
      <c r="I154" s="73">
        <f t="shared" si="61"/>
        <v>0</v>
      </c>
      <c r="J154" s="465">
        <v>2085</v>
      </c>
      <c r="K154" s="78" t="str">
        <f t="shared" si="62"/>
        <v/>
      </c>
      <c r="L154" s="52"/>
    </row>
    <row r="155" spans="1:12" ht="30" x14ac:dyDescent="0.25">
      <c r="B155" s="79" t="s">
        <v>68</v>
      </c>
      <c r="C155" s="81" t="s">
        <v>67</v>
      </c>
      <c r="D155" s="77" t="s">
        <v>106</v>
      </c>
      <c r="E155" s="52">
        <v>0</v>
      </c>
      <c r="F155" s="52">
        <v>0</v>
      </c>
      <c r="G155" s="72">
        <f t="shared" si="65"/>
        <v>0</v>
      </c>
      <c r="H155" s="71">
        <v>0</v>
      </c>
      <c r="I155" s="73">
        <f t="shared" si="61"/>
        <v>0</v>
      </c>
      <c r="J155" s="465">
        <v>2085</v>
      </c>
      <c r="K155" s="78" t="str">
        <f t="shared" si="62"/>
        <v/>
      </c>
      <c r="L155" s="52"/>
    </row>
    <row r="156" spans="1:12" x14ac:dyDescent="0.25">
      <c r="B156" s="79" t="s">
        <v>70</v>
      </c>
      <c r="C156" s="79" t="s">
        <v>69</v>
      </c>
      <c r="D156" s="77" t="s">
        <v>106</v>
      </c>
      <c r="E156" s="52">
        <v>0</v>
      </c>
      <c r="F156" s="52">
        <v>0</v>
      </c>
      <c r="G156" s="72">
        <f t="shared" si="65"/>
        <v>0</v>
      </c>
      <c r="H156" s="71">
        <v>0</v>
      </c>
      <c r="I156" s="73">
        <f t="shared" si="61"/>
        <v>0</v>
      </c>
      <c r="J156" s="465">
        <v>2085</v>
      </c>
      <c r="K156" s="78" t="str">
        <f t="shared" si="62"/>
        <v/>
      </c>
      <c r="L156" s="52"/>
    </row>
    <row r="157" spans="1:12" ht="30" x14ac:dyDescent="0.25">
      <c r="B157" s="79" t="s">
        <v>72</v>
      </c>
      <c r="C157" s="81" t="s">
        <v>71</v>
      </c>
      <c r="D157" s="77" t="s">
        <v>106</v>
      </c>
      <c r="E157" s="52">
        <v>228</v>
      </c>
      <c r="F157" s="52">
        <v>50</v>
      </c>
      <c r="G157" s="72">
        <f t="shared" si="60"/>
        <v>11400</v>
      </c>
      <c r="H157" s="461"/>
      <c r="I157" s="73">
        <f t="shared" si="61"/>
        <v>0</v>
      </c>
      <c r="J157" s="465">
        <v>2085</v>
      </c>
      <c r="K157" s="78" t="str">
        <f t="shared" si="62"/>
        <v/>
      </c>
      <c r="L157" s="52"/>
    </row>
    <row r="158" spans="1:12" x14ac:dyDescent="0.25">
      <c r="B158" s="79" t="s">
        <v>73</v>
      </c>
      <c r="C158" s="79" t="s">
        <v>141</v>
      </c>
      <c r="D158" s="77" t="s">
        <v>106</v>
      </c>
      <c r="E158" s="52">
        <v>760</v>
      </c>
      <c r="F158" s="52">
        <v>75</v>
      </c>
      <c r="G158" s="72">
        <f t="shared" si="60"/>
        <v>57000</v>
      </c>
      <c r="H158" s="461"/>
      <c r="I158" s="73">
        <f t="shared" si="61"/>
        <v>0</v>
      </c>
      <c r="J158" s="465">
        <v>2085</v>
      </c>
      <c r="K158" s="78" t="str">
        <f t="shared" si="62"/>
        <v/>
      </c>
      <c r="L158" s="52"/>
    </row>
    <row r="159" spans="1:12" x14ac:dyDescent="0.25">
      <c r="B159" s="79" t="s">
        <v>75</v>
      </c>
      <c r="C159" s="79" t="s">
        <v>74</v>
      </c>
      <c r="D159" s="77" t="s">
        <v>106</v>
      </c>
      <c r="E159" s="52">
        <v>112</v>
      </c>
      <c r="F159" s="52">
        <v>30</v>
      </c>
      <c r="G159" s="72">
        <f t="shared" si="60"/>
        <v>3360</v>
      </c>
      <c r="H159" s="461"/>
      <c r="I159" s="73">
        <f t="shared" si="61"/>
        <v>0</v>
      </c>
      <c r="J159" s="465">
        <v>2085</v>
      </c>
      <c r="K159" s="78" t="str">
        <f t="shared" si="62"/>
        <v/>
      </c>
      <c r="L159" s="52"/>
    </row>
    <row r="160" spans="1:12" x14ac:dyDescent="0.25">
      <c r="B160" s="79" t="s">
        <v>143</v>
      </c>
      <c r="C160" s="79" t="s">
        <v>142</v>
      </c>
      <c r="D160" s="77" t="s">
        <v>106</v>
      </c>
      <c r="E160" s="52">
        <v>0</v>
      </c>
      <c r="F160" s="52">
        <v>0</v>
      </c>
      <c r="G160" s="72">
        <f t="shared" ref="G160:G162" si="66">ROUND(E160*F160,2)</f>
        <v>0</v>
      </c>
      <c r="H160" s="469">
        <v>0</v>
      </c>
      <c r="I160" s="73">
        <f t="shared" si="61"/>
        <v>0</v>
      </c>
      <c r="J160" s="465">
        <v>2085</v>
      </c>
      <c r="K160" s="78" t="str">
        <f t="shared" si="62"/>
        <v/>
      </c>
      <c r="L160" s="52"/>
    </row>
    <row r="161" spans="1:12" x14ac:dyDescent="0.25">
      <c r="B161" s="79" t="s">
        <v>77</v>
      </c>
      <c r="C161" s="79" t="s">
        <v>76</v>
      </c>
      <c r="D161" s="77" t="s">
        <v>106</v>
      </c>
      <c r="E161" s="52">
        <v>0</v>
      </c>
      <c r="F161" s="52">
        <v>0</v>
      </c>
      <c r="G161" s="72">
        <f t="shared" si="66"/>
        <v>0</v>
      </c>
      <c r="H161" s="71">
        <v>0</v>
      </c>
      <c r="I161" s="73">
        <f t="shared" si="61"/>
        <v>0</v>
      </c>
      <c r="J161" s="465">
        <v>2085</v>
      </c>
      <c r="K161" s="78" t="str">
        <f t="shared" si="62"/>
        <v/>
      </c>
      <c r="L161" s="52"/>
    </row>
    <row r="162" spans="1:12" x14ac:dyDescent="0.25">
      <c r="B162" s="79" t="s">
        <v>79</v>
      </c>
      <c r="C162" s="79" t="s">
        <v>78</v>
      </c>
      <c r="D162" s="77" t="s">
        <v>106</v>
      </c>
      <c r="E162" s="52">
        <v>0</v>
      </c>
      <c r="F162" s="52">
        <v>0</v>
      </c>
      <c r="G162" s="72">
        <f t="shared" si="66"/>
        <v>0</v>
      </c>
      <c r="H162" s="71">
        <v>0</v>
      </c>
      <c r="I162" s="73">
        <f t="shared" si="61"/>
        <v>0</v>
      </c>
      <c r="J162" s="465">
        <v>2085</v>
      </c>
      <c r="K162" s="78" t="str">
        <f t="shared" si="62"/>
        <v/>
      </c>
      <c r="L162" s="52"/>
    </row>
    <row r="163" spans="1:12" x14ac:dyDescent="0.25">
      <c r="B163" s="79" t="s">
        <v>80</v>
      </c>
      <c r="C163" s="79" t="s">
        <v>152</v>
      </c>
      <c r="D163" s="77" t="s">
        <v>106</v>
      </c>
      <c r="E163" s="52">
        <v>3700</v>
      </c>
      <c r="F163" s="52">
        <v>15</v>
      </c>
      <c r="G163" s="72">
        <f t="shared" si="60"/>
        <v>55500</v>
      </c>
      <c r="H163" s="461"/>
      <c r="I163" s="73">
        <f t="shared" si="61"/>
        <v>0</v>
      </c>
      <c r="J163" s="465">
        <v>2085</v>
      </c>
      <c r="K163" s="78" t="str">
        <f t="shared" si="62"/>
        <v/>
      </c>
      <c r="L163" s="52"/>
    </row>
    <row r="164" spans="1:12" x14ac:dyDescent="0.25">
      <c r="A164" s="37" t="s">
        <v>162</v>
      </c>
      <c r="B164" s="82"/>
      <c r="C164" s="83" t="s">
        <v>190</v>
      </c>
      <c r="D164" s="77"/>
      <c r="E164" s="52">
        <v>0</v>
      </c>
      <c r="G164" s="72"/>
      <c r="H164" s="71"/>
      <c r="I164" s="73"/>
      <c r="J164" s="465">
        <v>2085</v>
      </c>
      <c r="K164" s="78" t="str">
        <f t="shared" si="62"/>
        <v/>
      </c>
      <c r="L164" s="52"/>
    </row>
    <row r="165" spans="1:12" x14ac:dyDescent="0.25">
      <c r="B165" s="82" t="s">
        <v>83</v>
      </c>
      <c r="C165" s="82" t="s">
        <v>82</v>
      </c>
      <c r="D165" s="77" t="s">
        <v>106</v>
      </c>
      <c r="E165" s="52">
        <v>0</v>
      </c>
      <c r="F165" s="52">
        <v>0</v>
      </c>
      <c r="G165" s="72">
        <f t="shared" ref="G165" si="67">ROUND(E165*F165,2)</f>
        <v>0</v>
      </c>
      <c r="H165" s="71">
        <v>0</v>
      </c>
      <c r="I165" s="73">
        <f t="shared" si="61"/>
        <v>0</v>
      </c>
      <c r="J165" s="465">
        <v>2085</v>
      </c>
      <c r="K165" s="78" t="str">
        <f t="shared" si="62"/>
        <v/>
      </c>
      <c r="L165" s="52"/>
    </row>
    <row r="166" spans="1:12" x14ac:dyDescent="0.25">
      <c r="B166" s="82" t="s">
        <v>85</v>
      </c>
      <c r="C166" s="82" t="s">
        <v>84</v>
      </c>
      <c r="D166" s="77" t="s">
        <v>106</v>
      </c>
      <c r="E166" s="52">
        <v>760</v>
      </c>
      <c r="F166" s="52">
        <v>80</v>
      </c>
      <c r="G166" s="72">
        <f t="shared" si="60"/>
        <v>60800</v>
      </c>
      <c r="H166" s="461"/>
      <c r="I166" s="73">
        <f t="shared" si="61"/>
        <v>0</v>
      </c>
      <c r="J166" s="465">
        <v>2085</v>
      </c>
      <c r="K166" s="78" t="str">
        <f t="shared" si="62"/>
        <v/>
      </c>
      <c r="L166" s="52"/>
    </row>
    <row r="167" spans="1:12" ht="45" x14ac:dyDescent="0.25">
      <c r="B167" s="466" t="s">
        <v>87</v>
      </c>
      <c r="C167" s="467" t="s">
        <v>189</v>
      </c>
      <c r="D167" s="77" t="s">
        <v>106</v>
      </c>
      <c r="E167" s="52">
        <v>2280</v>
      </c>
      <c r="F167" s="52">
        <v>12</v>
      </c>
      <c r="G167" s="72">
        <f t="shared" si="60"/>
        <v>27360</v>
      </c>
      <c r="H167" s="461"/>
      <c r="I167" s="73">
        <f t="shared" si="61"/>
        <v>0</v>
      </c>
      <c r="J167" s="465">
        <v>2085</v>
      </c>
      <c r="K167" s="78" t="str">
        <f t="shared" si="62"/>
        <v/>
      </c>
      <c r="L167" s="52"/>
    </row>
    <row r="168" spans="1:12" ht="30" x14ac:dyDescent="0.25">
      <c r="B168" s="84" t="s">
        <v>89</v>
      </c>
      <c r="C168" s="85" t="s">
        <v>88</v>
      </c>
      <c r="D168" s="77" t="s">
        <v>106</v>
      </c>
      <c r="E168" s="52">
        <v>11867</v>
      </c>
      <c r="F168" s="52">
        <v>2</v>
      </c>
      <c r="G168" s="72">
        <f t="shared" si="60"/>
        <v>23734</v>
      </c>
      <c r="H168" s="461"/>
      <c r="I168" s="73">
        <f t="shared" si="61"/>
        <v>0</v>
      </c>
      <c r="J168" s="465">
        <v>2085</v>
      </c>
      <c r="K168" s="78" t="str">
        <f t="shared" si="62"/>
        <v/>
      </c>
      <c r="L168" s="52"/>
    </row>
    <row r="169" spans="1:12" x14ac:dyDescent="0.25">
      <c r="B169" s="84" t="s">
        <v>91</v>
      </c>
      <c r="C169" s="86" t="s">
        <v>90</v>
      </c>
      <c r="D169" s="77" t="s">
        <v>106</v>
      </c>
      <c r="E169" s="52">
        <v>11867</v>
      </c>
      <c r="F169" s="52">
        <v>2</v>
      </c>
      <c r="G169" s="72">
        <f t="shared" si="60"/>
        <v>23734</v>
      </c>
      <c r="H169" s="461"/>
      <c r="I169" s="73">
        <f t="shared" si="61"/>
        <v>0</v>
      </c>
      <c r="J169" s="465">
        <v>2085</v>
      </c>
      <c r="K169" s="78" t="str">
        <f t="shared" si="62"/>
        <v/>
      </c>
      <c r="L169" s="52"/>
    </row>
    <row r="170" spans="1:12" ht="30" x14ac:dyDescent="0.25">
      <c r="B170" s="84" t="s">
        <v>93</v>
      </c>
      <c r="C170" s="85" t="s">
        <v>153</v>
      </c>
      <c r="D170" s="77" t="s">
        <v>106</v>
      </c>
      <c r="E170" s="52">
        <v>3700</v>
      </c>
      <c r="F170" s="52">
        <v>25</v>
      </c>
      <c r="G170" s="72">
        <f t="shared" si="60"/>
        <v>92500</v>
      </c>
      <c r="H170" s="461"/>
      <c r="I170" s="73">
        <f t="shared" si="61"/>
        <v>0</v>
      </c>
      <c r="J170" s="465">
        <v>2085</v>
      </c>
      <c r="K170" s="78" t="str">
        <f t="shared" si="62"/>
        <v/>
      </c>
      <c r="L170" s="52"/>
    </row>
    <row r="171" spans="1:12" x14ac:dyDescent="0.25">
      <c r="B171" s="84" t="s">
        <v>94</v>
      </c>
      <c r="C171" s="86" t="s">
        <v>107</v>
      </c>
      <c r="D171" s="77" t="s">
        <v>106</v>
      </c>
      <c r="E171" s="52">
        <v>760</v>
      </c>
      <c r="F171" s="52">
        <v>35</v>
      </c>
      <c r="G171" s="72">
        <f t="shared" si="60"/>
        <v>26600</v>
      </c>
      <c r="H171" s="461"/>
      <c r="I171" s="73">
        <f t="shared" si="61"/>
        <v>0</v>
      </c>
      <c r="J171" s="465">
        <v>2085</v>
      </c>
      <c r="K171" s="78" t="str">
        <f t="shared" si="62"/>
        <v/>
      </c>
      <c r="L171" s="52"/>
    </row>
    <row r="172" spans="1:12" x14ac:dyDescent="0.25">
      <c r="A172" s="37" t="s">
        <v>163</v>
      </c>
      <c r="B172" s="89"/>
      <c r="C172" s="90" t="s">
        <v>95</v>
      </c>
      <c r="D172" s="77"/>
      <c r="E172" s="52">
        <v>0</v>
      </c>
      <c r="G172" s="72"/>
      <c r="H172" s="71"/>
      <c r="I172" s="73"/>
      <c r="J172" s="465">
        <v>2085</v>
      </c>
      <c r="K172" s="78" t="str">
        <f t="shared" si="62"/>
        <v/>
      </c>
      <c r="L172" s="52"/>
    </row>
    <row r="173" spans="1:12" x14ac:dyDescent="0.25">
      <c r="B173" s="91" t="s">
        <v>97</v>
      </c>
      <c r="C173" s="91" t="s">
        <v>96</v>
      </c>
      <c r="D173" s="77" t="s">
        <v>106</v>
      </c>
      <c r="E173" s="52">
        <v>0</v>
      </c>
      <c r="F173" s="52">
        <v>0</v>
      </c>
      <c r="G173" s="72">
        <f t="shared" ref="G173" si="68">ROUND(E173*F173,2)</f>
        <v>0</v>
      </c>
      <c r="H173" s="71">
        <v>0</v>
      </c>
      <c r="I173" s="73">
        <f t="shared" si="61"/>
        <v>0</v>
      </c>
      <c r="J173" s="465">
        <v>2085</v>
      </c>
      <c r="K173" s="78" t="str">
        <f t="shared" si="62"/>
        <v/>
      </c>
      <c r="L173" s="52"/>
    </row>
    <row r="174" spans="1:12" x14ac:dyDescent="0.25">
      <c r="B174" s="91" t="s">
        <v>99</v>
      </c>
      <c r="C174" s="91" t="s">
        <v>98</v>
      </c>
      <c r="D174" s="77" t="s">
        <v>106</v>
      </c>
      <c r="E174" s="52">
        <v>0</v>
      </c>
      <c r="F174" s="52">
        <v>0</v>
      </c>
      <c r="G174" s="72">
        <f t="shared" ref="G174:G178" si="69">ROUND(E174*F174,2)</f>
        <v>0</v>
      </c>
      <c r="H174" s="71">
        <v>0</v>
      </c>
      <c r="I174" s="73">
        <f t="shared" si="61"/>
        <v>0</v>
      </c>
      <c r="J174" s="465">
        <v>2085</v>
      </c>
      <c r="K174" s="78" t="str">
        <f t="shared" si="62"/>
        <v/>
      </c>
      <c r="L174" s="52"/>
    </row>
    <row r="175" spans="1:12" x14ac:dyDescent="0.25">
      <c r="B175" s="91" t="s">
        <v>101</v>
      </c>
      <c r="C175" s="91" t="s">
        <v>100</v>
      </c>
      <c r="D175" s="77" t="s">
        <v>106</v>
      </c>
      <c r="E175" s="52">
        <v>0</v>
      </c>
      <c r="F175" s="52">
        <v>0</v>
      </c>
      <c r="G175" s="72">
        <f t="shared" si="69"/>
        <v>0</v>
      </c>
      <c r="H175" s="71">
        <v>0</v>
      </c>
      <c r="I175" s="73">
        <f t="shared" si="61"/>
        <v>0</v>
      </c>
      <c r="J175" s="465">
        <v>2085</v>
      </c>
      <c r="K175" s="78" t="str">
        <f t="shared" si="62"/>
        <v/>
      </c>
      <c r="L175" s="52"/>
    </row>
    <row r="176" spans="1:12" ht="30" x14ac:dyDescent="0.25">
      <c r="B176" s="91" t="s">
        <v>102</v>
      </c>
      <c r="C176" s="92" t="s">
        <v>147</v>
      </c>
      <c r="D176" s="77" t="s">
        <v>106</v>
      </c>
      <c r="E176" s="52">
        <v>0</v>
      </c>
      <c r="F176" s="52">
        <v>0</v>
      </c>
      <c r="G176" s="72">
        <f t="shared" si="69"/>
        <v>0</v>
      </c>
      <c r="H176" s="71">
        <v>0</v>
      </c>
      <c r="I176" s="73">
        <f>ROUND(E176*H176,2)</f>
        <v>0</v>
      </c>
      <c r="J176" s="465">
        <v>2085</v>
      </c>
      <c r="K176" s="78" t="str">
        <f t="shared" si="62"/>
        <v/>
      </c>
      <c r="L176" s="52"/>
    </row>
    <row r="177" spans="1:12" x14ac:dyDescent="0.25">
      <c r="A177" s="37" t="s">
        <v>172</v>
      </c>
      <c r="B177" s="93"/>
      <c r="C177" s="94" t="s">
        <v>176</v>
      </c>
      <c r="D177" s="77"/>
      <c r="G177" s="72"/>
      <c r="H177" s="71"/>
      <c r="I177" s="73"/>
      <c r="J177" s="465">
        <v>2085</v>
      </c>
      <c r="K177" s="78" t="str">
        <f t="shared" si="62"/>
        <v/>
      </c>
      <c r="L177" s="52"/>
    </row>
    <row r="178" spans="1:12" ht="30" x14ac:dyDescent="0.25">
      <c r="B178" s="95">
        <v>2085</v>
      </c>
      <c r="C178" s="96" t="s">
        <v>177</v>
      </c>
      <c r="D178" s="77" t="s">
        <v>170</v>
      </c>
      <c r="E178" s="52">
        <v>3</v>
      </c>
      <c r="F178" s="52">
        <v>440</v>
      </c>
      <c r="G178" s="72">
        <f t="shared" si="69"/>
        <v>1320</v>
      </c>
      <c r="H178" s="461"/>
      <c r="I178" s="73">
        <f>ROUND(E178*H178,2)</f>
        <v>0</v>
      </c>
      <c r="J178" s="465">
        <v>2085</v>
      </c>
      <c r="K178" s="78" t="str">
        <f t="shared" si="62"/>
        <v/>
      </c>
      <c r="L178" s="52"/>
    </row>
    <row r="179" spans="1:12" x14ac:dyDescent="0.25">
      <c r="A179" s="37" t="s">
        <v>164</v>
      </c>
      <c r="C179" s="74" t="s">
        <v>134</v>
      </c>
      <c r="G179" s="72"/>
      <c r="H179" s="71"/>
      <c r="I179" s="73"/>
      <c r="K179" s="78" t="str">
        <f t="shared" si="62"/>
        <v/>
      </c>
      <c r="L179" s="52"/>
    </row>
    <row r="180" spans="1:12" x14ac:dyDescent="0.25">
      <c r="A180" s="37" t="s">
        <v>165</v>
      </c>
      <c r="B180" s="75"/>
      <c r="C180" s="76" t="s">
        <v>38</v>
      </c>
      <c r="D180" s="37"/>
      <c r="G180" s="72"/>
      <c r="H180" s="71"/>
      <c r="I180" s="73"/>
      <c r="K180" s="78" t="str">
        <f t="shared" si="62"/>
        <v/>
      </c>
      <c r="L180" s="52"/>
    </row>
    <row r="181" spans="1:12" x14ac:dyDescent="0.25">
      <c r="B181" s="75" t="s">
        <v>40</v>
      </c>
      <c r="C181" s="75" t="s">
        <v>39</v>
      </c>
      <c r="D181" s="77" t="s">
        <v>106</v>
      </c>
      <c r="E181" s="52">
        <v>0</v>
      </c>
      <c r="F181" s="52">
        <v>0</v>
      </c>
      <c r="G181" s="72">
        <f t="shared" ref="G181:G186" si="70">ROUND(E181*F181,2)</f>
        <v>0</v>
      </c>
      <c r="H181" s="71">
        <v>0</v>
      </c>
      <c r="I181" s="73">
        <f t="shared" si="61"/>
        <v>0</v>
      </c>
      <c r="J181" s="465">
        <v>2086</v>
      </c>
      <c r="K181" s="78" t="str">
        <f t="shared" si="62"/>
        <v/>
      </c>
      <c r="L181" s="52"/>
    </row>
    <row r="182" spans="1:12" x14ac:dyDescent="0.25">
      <c r="B182" s="75" t="s">
        <v>42</v>
      </c>
      <c r="C182" s="75" t="s">
        <v>41</v>
      </c>
      <c r="D182" s="77" t="s">
        <v>106</v>
      </c>
      <c r="E182" s="52">
        <v>0</v>
      </c>
      <c r="F182" s="52">
        <v>0</v>
      </c>
      <c r="G182" s="72">
        <f t="shared" si="70"/>
        <v>0</v>
      </c>
      <c r="H182" s="71">
        <v>0</v>
      </c>
      <c r="I182" s="73">
        <f t="shared" si="61"/>
        <v>0</v>
      </c>
      <c r="J182" s="465">
        <v>2086</v>
      </c>
      <c r="K182" s="78" t="str">
        <f t="shared" si="62"/>
        <v/>
      </c>
      <c r="L182" s="52"/>
    </row>
    <row r="183" spans="1:12" x14ac:dyDescent="0.25">
      <c r="B183" s="75" t="s">
        <v>44</v>
      </c>
      <c r="C183" s="75" t="s">
        <v>43</v>
      </c>
      <c r="D183" s="77" t="s">
        <v>106</v>
      </c>
      <c r="E183" s="52">
        <v>0</v>
      </c>
      <c r="F183" s="52">
        <v>0</v>
      </c>
      <c r="G183" s="72">
        <f t="shared" si="70"/>
        <v>0</v>
      </c>
      <c r="H183" s="71">
        <v>0</v>
      </c>
      <c r="I183" s="73">
        <f t="shared" si="61"/>
        <v>0</v>
      </c>
      <c r="J183" s="465">
        <v>2086</v>
      </c>
      <c r="K183" s="78" t="str">
        <f t="shared" si="62"/>
        <v/>
      </c>
      <c r="L183" s="52"/>
    </row>
    <row r="184" spans="1:12" x14ac:dyDescent="0.25">
      <c r="B184" s="75" t="s">
        <v>46</v>
      </c>
      <c r="C184" s="75" t="s">
        <v>45</v>
      </c>
      <c r="D184" s="77" t="s">
        <v>106</v>
      </c>
      <c r="E184" s="52">
        <v>0</v>
      </c>
      <c r="F184" s="52">
        <v>0</v>
      </c>
      <c r="G184" s="72">
        <f t="shared" si="70"/>
        <v>0</v>
      </c>
      <c r="H184" s="71">
        <v>0</v>
      </c>
      <c r="I184" s="73">
        <f t="shared" si="61"/>
        <v>0</v>
      </c>
      <c r="J184" s="465">
        <v>2086</v>
      </c>
      <c r="K184" s="78" t="str">
        <f t="shared" si="62"/>
        <v/>
      </c>
      <c r="L184" s="52"/>
    </row>
    <row r="185" spans="1:12" x14ac:dyDescent="0.25">
      <c r="B185" s="75" t="s">
        <v>48</v>
      </c>
      <c r="C185" s="75" t="s">
        <v>47</v>
      </c>
      <c r="D185" s="77" t="s">
        <v>106</v>
      </c>
      <c r="E185" s="52">
        <v>0</v>
      </c>
      <c r="F185" s="52">
        <v>0</v>
      </c>
      <c r="G185" s="72">
        <f t="shared" si="70"/>
        <v>0</v>
      </c>
      <c r="H185" s="71">
        <v>0</v>
      </c>
      <c r="I185" s="73">
        <f t="shared" si="61"/>
        <v>0</v>
      </c>
      <c r="J185" s="465">
        <v>2086</v>
      </c>
      <c r="K185" s="78" t="str">
        <f t="shared" si="62"/>
        <v/>
      </c>
      <c r="L185" s="52"/>
    </row>
    <row r="186" spans="1:12" x14ac:dyDescent="0.25">
      <c r="B186" s="75" t="s">
        <v>50</v>
      </c>
      <c r="C186" s="75" t="s">
        <v>49</v>
      </c>
      <c r="D186" s="77" t="s">
        <v>106</v>
      </c>
      <c r="E186" s="52">
        <v>0</v>
      </c>
      <c r="F186" s="52">
        <v>0</v>
      </c>
      <c r="G186" s="72">
        <f t="shared" si="70"/>
        <v>0</v>
      </c>
      <c r="H186" s="71">
        <v>0</v>
      </c>
      <c r="I186" s="73">
        <f t="shared" si="61"/>
        <v>0</v>
      </c>
      <c r="J186" s="465">
        <v>2086</v>
      </c>
      <c r="K186" s="78" t="str">
        <f t="shared" si="62"/>
        <v/>
      </c>
      <c r="L186" s="52"/>
    </row>
    <row r="187" spans="1:12" x14ac:dyDescent="0.25">
      <c r="B187" s="75" t="s">
        <v>137</v>
      </c>
      <c r="C187" s="75" t="s">
        <v>136</v>
      </c>
      <c r="D187" s="77" t="s">
        <v>106</v>
      </c>
      <c r="E187" s="52">
        <v>420</v>
      </c>
      <c r="F187" s="52">
        <v>210</v>
      </c>
      <c r="G187" s="72">
        <f t="shared" si="60"/>
        <v>88200</v>
      </c>
      <c r="H187" s="461"/>
      <c r="I187" s="73">
        <f t="shared" si="61"/>
        <v>0</v>
      </c>
      <c r="J187" s="465">
        <v>2086</v>
      </c>
      <c r="K187" s="78" t="str">
        <f t="shared" si="62"/>
        <v/>
      </c>
      <c r="L187" s="52"/>
    </row>
    <row r="188" spans="1:12" x14ac:dyDescent="0.25">
      <c r="A188" s="37" t="s">
        <v>166</v>
      </c>
      <c r="B188" s="79"/>
      <c r="C188" s="80" t="s">
        <v>51</v>
      </c>
      <c r="D188" s="77"/>
      <c r="G188" s="72"/>
      <c r="H188" s="71"/>
      <c r="I188" s="73"/>
      <c r="J188" s="465">
        <v>2086</v>
      </c>
      <c r="K188" s="78" t="str">
        <f t="shared" si="62"/>
        <v/>
      </c>
      <c r="L188" s="52"/>
    </row>
    <row r="189" spans="1:12" x14ac:dyDescent="0.25">
      <c r="B189" s="79" t="s">
        <v>53</v>
      </c>
      <c r="C189" s="79" t="s">
        <v>52</v>
      </c>
      <c r="D189" s="77" t="s">
        <v>106</v>
      </c>
      <c r="E189" s="52">
        <v>0</v>
      </c>
      <c r="F189" s="52">
        <v>0</v>
      </c>
      <c r="G189" s="72">
        <f t="shared" si="60"/>
        <v>0</v>
      </c>
      <c r="H189" s="71">
        <v>0</v>
      </c>
      <c r="I189" s="73">
        <f t="shared" si="61"/>
        <v>0</v>
      </c>
      <c r="J189" s="465">
        <v>2086</v>
      </c>
      <c r="K189" s="78" t="str">
        <f t="shared" si="62"/>
        <v/>
      </c>
      <c r="L189" s="52"/>
    </row>
    <row r="190" spans="1:12" x14ac:dyDescent="0.25">
      <c r="B190" s="79" t="s">
        <v>55</v>
      </c>
      <c r="C190" s="79" t="s">
        <v>54</v>
      </c>
      <c r="D190" s="77" t="s">
        <v>106</v>
      </c>
      <c r="E190" s="52">
        <v>0</v>
      </c>
      <c r="F190" s="52">
        <v>0</v>
      </c>
      <c r="G190" s="72">
        <f t="shared" si="60"/>
        <v>0</v>
      </c>
      <c r="H190" s="71">
        <v>0</v>
      </c>
      <c r="I190" s="73">
        <f t="shared" si="61"/>
        <v>0</v>
      </c>
      <c r="J190" s="465">
        <v>2086</v>
      </c>
      <c r="K190" s="78" t="str">
        <f t="shared" si="62"/>
        <v/>
      </c>
      <c r="L190" s="52"/>
    </row>
    <row r="191" spans="1:12" x14ac:dyDescent="0.25">
      <c r="B191" s="79" t="s">
        <v>57</v>
      </c>
      <c r="C191" s="79" t="s">
        <v>56</v>
      </c>
      <c r="D191" s="77" t="s">
        <v>106</v>
      </c>
      <c r="E191" s="52">
        <v>0</v>
      </c>
      <c r="F191" s="52">
        <v>0</v>
      </c>
      <c r="G191" s="72">
        <f t="shared" si="60"/>
        <v>0</v>
      </c>
      <c r="H191" s="71">
        <v>0</v>
      </c>
      <c r="I191" s="73">
        <f t="shared" si="61"/>
        <v>0</v>
      </c>
      <c r="J191" s="465">
        <v>2086</v>
      </c>
      <c r="K191" s="78" t="str">
        <f t="shared" si="62"/>
        <v/>
      </c>
      <c r="L191" s="52"/>
    </row>
    <row r="192" spans="1:12" x14ac:dyDescent="0.25">
      <c r="B192" s="79" t="s">
        <v>59</v>
      </c>
      <c r="C192" s="79" t="s">
        <v>58</v>
      </c>
      <c r="D192" s="77" t="s">
        <v>106</v>
      </c>
      <c r="E192" s="52">
        <v>0</v>
      </c>
      <c r="F192" s="52">
        <v>0</v>
      </c>
      <c r="G192" s="72">
        <f t="shared" si="60"/>
        <v>0</v>
      </c>
      <c r="H192" s="71">
        <v>0</v>
      </c>
      <c r="I192" s="73">
        <f t="shared" si="61"/>
        <v>0</v>
      </c>
      <c r="J192" s="465">
        <v>2086</v>
      </c>
      <c r="K192" s="78" t="str">
        <f t="shared" si="62"/>
        <v/>
      </c>
      <c r="L192" s="52"/>
    </row>
    <row r="193" spans="1:12" x14ac:dyDescent="0.25">
      <c r="B193" s="79" t="s">
        <v>61</v>
      </c>
      <c r="C193" s="79" t="s">
        <v>60</v>
      </c>
      <c r="D193" s="77" t="s">
        <v>106</v>
      </c>
      <c r="E193" s="52">
        <v>0</v>
      </c>
      <c r="F193" s="52">
        <v>0</v>
      </c>
      <c r="G193" s="72">
        <f t="shared" si="60"/>
        <v>0</v>
      </c>
      <c r="H193" s="71">
        <v>0</v>
      </c>
      <c r="I193" s="73">
        <f t="shared" si="61"/>
        <v>0</v>
      </c>
      <c r="J193" s="465">
        <v>2086</v>
      </c>
      <c r="K193" s="78" t="str">
        <f t="shared" si="62"/>
        <v/>
      </c>
      <c r="L193" s="52"/>
    </row>
    <row r="194" spans="1:12" x14ac:dyDescent="0.25">
      <c r="B194" s="79" t="s">
        <v>63</v>
      </c>
      <c r="C194" s="79" t="s">
        <v>62</v>
      </c>
      <c r="D194" s="77" t="s">
        <v>106</v>
      </c>
      <c r="E194" s="52">
        <v>0</v>
      </c>
      <c r="F194" s="52">
        <v>0</v>
      </c>
      <c r="G194" s="72">
        <f t="shared" si="60"/>
        <v>0</v>
      </c>
      <c r="H194" s="71">
        <v>0</v>
      </c>
      <c r="I194" s="73">
        <f t="shared" si="61"/>
        <v>0</v>
      </c>
      <c r="J194" s="465">
        <v>2086</v>
      </c>
      <c r="K194" s="78" t="str">
        <f t="shared" si="62"/>
        <v/>
      </c>
      <c r="L194" s="52"/>
    </row>
    <row r="195" spans="1:12" x14ac:dyDescent="0.25">
      <c r="B195" s="79" t="s">
        <v>64</v>
      </c>
      <c r="C195" s="79" t="s">
        <v>140</v>
      </c>
      <c r="D195" s="77" t="s">
        <v>106</v>
      </c>
      <c r="E195" s="52">
        <v>0</v>
      </c>
      <c r="F195" s="52">
        <v>0</v>
      </c>
      <c r="G195" s="72">
        <f t="shared" si="60"/>
        <v>0</v>
      </c>
      <c r="H195" s="71">
        <v>0</v>
      </c>
      <c r="I195" s="73">
        <f t="shared" si="61"/>
        <v>0</v>
      </c>
      <c r="J195" s="465">
        <v>2086</v>
      </c>
      <c r="K195" s="78" t="str">
        <f t="shared" si="62"/>
        <v/>
      </c>
      <c r="L195" s="52"/>
    </row>
    <row r="196" spans="1:12" ht="30" x14ac:dyDescent="0.25">
      <c r="B196" s="79" t="s">
        <v>66</v>
      </c>
      <c r="C196" s="81" t="s">
        <v>65</v>
      </c>
      <c r="D196" s="77" t="s">
        <v>106</v>
      </c>
      <c r="E196" s="52">
        <v>0</v>
      </c>
      <c r="F196" s="52">
        <v>0</v>
      </c>
      <c r="G196" s="72">
        <f t="shared" si="60"/>
        <v>0</v>
      </c>
      <c r="H196" s="71">
        <v>0</v>
      </c>
      <c r="I196" s="73">
        <f t="shared" si="61"/>
        <v>0</v>
      </c>
      <c r="J196" s="465">
        <v>2086</v>
      </c>
      <c r="K196" s="78" t="str">
        <f t="shared" si="62"/>
        <v/>
      </c>
      <c r="L196" s="52"/>
    </row>
    <row r="197" spans="1:12" ht="30" x14ac:dyDescent="0.25">
      <c r="B197" s="79" t="s">
        <v>68</v>
      </c>
      <c r="C197" s="81" t="s">
        <v>67</v>
      </c>
      <c r="D197" s="77" t="s">
        <v>106</v>
      </c>
      <c r="E197" s="52">
        <v>0</v>
      </c>
      <c r="F197" s="52">
        <v>0</v>
      </c>
      <c r="G197" s="72">
        <f t="shared" si="60"/>
        <v>0</v>
      </c>
      <c r="H197" s="71">
        <v>0</v>
      </c>
      <c r="I197" s="73">
        <f t="shared" si="61"/>
        <v>0</v>
      </c>
      <c r="J197" s="465">
        <v>2086</v>
      </c>
      <c r="K197" s="78" t="str">
        <f t="shared" si="62"/>
        <v/>
      </c>
      <c r="L197" s="52"/>
    </row>
    <row r="198" spans="1:12" x14ac:dyDescent="0.25">
      <c r="B198" s="79" t="s">
        <v>70</v>
      </c>
      <c r="C198" s="79" t="s">
        <v>69</v>
      </c>
      <c r="D198" s="77" t="s">
        <v>106</v>
      </c>
      <c r="E198" s="52">
        <v>0</v>
      </c>
      <c r="F198" s="52">
        <v>0</v>
      </c>
      <c r="G198" s="72">
        <f t="shared" si="60"/>
        <v>0</v>
      </c>
      <c r="H198" s="71">
        <v>0</v>
      </c>
      <c r="I198" s="73">
        <f t="shared" si="61"/>
        <v>0</v>
      </c>
      <c r="J198" s="465">
        <v>2086</v>
      </c>
      <c r="K198" s="78" t="str">
        <f t="shared" si="62"/>
        <v/>
      </c>
      <c r="L198" s="52"/>
    </row>
    <row r="199" spans="1:12" ht="30" x14ac:dyDescent="0.25">
      <c r="B199" s="79" t="s">
        <v>72</v>
      </c>
      <c r="C199" s="81" t="s">
        <v>71</v>
      </c>
      <c r="D199" s="77" t="s">
        <v>106</v>
      </c>
      <c r="E199" s="52">
        <v>0</v>
      </c>
      <c r="F199" s="52">
        <v>0</v>
      </c>
      <c r="G199" s="72">
        <f t="shared" si="60"/>
        <v>0</v>
      </c>
      <c r="H199" s="71">
        <v>0</v>
      </c>
      <c r="I199" s="73">
        <f t="shared" si="61"/>
        <v>0</v>
      </c>
      <c r="J199" s="465">
        <v>2086</v>
      </c>
      <c r="K199" s="78" t="str">
        <f t="shared" si="62"/>
        <v/>
      </c>
      <c r="L199" s="52"/>
    </row>
    <row r="200" spans="1:12" x14ac:dyDescent="0.25">
      <c r="B200" s="79" t="s">
        <v>73</v>
      </c>
      <c r="C200" s="79" t="s">
        <v>141</v>
      </c>
      <c r="D200" s="77" t="s">
        <v>106</v>
      </c>
      <c r="E200" s="52">
        <v>0</v>
      </c>
      <c r="F200" s="52">
        <v>0</v>
      </c>
      <c r="G200" s="72">
        <f t="shared" si="60"/>
        <v>0</v>
      </c>
      <c r="H200" s="71">
        <v>0</v>
      </c>
      <c r="I200" s="73">
        <f t="shared" si="61"/>
        <v>0</v>
      </c>
      <c r="J200" s="465">
        <v>2086</v>
      </c>
      <c r="K200" s="78" t="str">
        <f t="shared" si="62"/>
        <v/>
      </c>
      <c r="L200" s="52"/>
    </row>
    <row r="201" spans="1:12" x14ac:dyDescent="0.25">
      <c r="B201" s="79" t="s">
        <v>75</v>
      </c>
      <c r="C201" s="79" t="s">
        <v>74</v>
      </c>
      <c r="D201" s="77" t="s">
        <v>106</v>
      </c>
      <c r="E201" s="52">
        <v>0</v>
      </c>
      <c r="F201" s="52">
        <v>0</v>
      </c>
      <c r="G201" s="72">
        <f t="shared" si="60"/>
        <v>0</v>
      </c>
      <c r="H201" s="71">
        <v>0</v>
      </c>
      <c r="I201" s="73">
        <f t="shared" si="61"/>
        <v>0</v>
      </c>
      <c r="J201" s="465">
        <v>2086</v>
      </c>
      <c r="K201" s="78" t="str">
        <f t="shared" si="62"/>
        <v/>
      </c>
      <c r="L201" s="52"/>
    </row>
    <row r="202" spans="1:12" x14ac:dyDescent="0.25">
      <c r="B202" s="79" t="s">
        <v>143</v>
      </c>
      <c r="C202" s="79" t="s">
        <v>142</v>
      </c>
      <c r="D202" s="77" t="s">
        <v>106</v>
      </c>
      <c r="E202" s="52">
        <v>420</v>
      </c>
      <c r="F202" s="52">
        <v>100</v>
      </c>
      <c r="G202" s="72">
        <f t="shared" si="60"/>
        <v>42000</v>
      </c>
      <c r="H202" s="461"/>
      <c r="I202" s="73">
        <f t="shared" si="61"/>
        <v>0</v>
      </c>
      <c r="J202" s="465">
        <v>2086</v>
      </c>
      <c r="K202" s="78" t="str">
        <f t="shared" si="62"/>
        <v/>
      </c>
      <c r="L202" s="52"/>
    </row>
    <row r="203" spans="1:12" x14ac:dyDescent="0.25">
      <c r="B203" s="79" t="s">
        <v>77</v>
      </c>
      <c r="C203" s="79" t="s">
        <v>76</v>
      </c>
      <c r="D203" s="77" t="s">
        <v>106</v>
      </c>
      <c r="E203" s="52">
        <v>0</v>
      </c>
      <c r="F203" s="52">
        <v>0</v>
      </c>
      <c r="G203" s="72">
        <f t="shared" si="60"/>
        <v>0</v>
      </c>
      <c r="H203" s="71">
        <v>0</v>
      </c>
      <c r="I203" s="73">
        <f t="shared" ref="I203:I218" si="71">ROUND(E203*H203,2)</f>
        <v>0</v>
      </c>
      <c r="J203" s="465">
        <v>2086</v>
      </c>
      <c r="K203" s="78" t="str">
        <f t="shared" si="62"/>
        <v/>
      </c>
      <c r="L203" s="52"/>
    </row>
    <row r="204" spans="1:12" x14ac:dyDescent="0.25">
      <c r="B204" s="79" t="s">
        <v>79</v>
      </c>
      <c r="C204" s="79" t="s">
        <v>78</v>
      </c>
      <c r="D204" s="77" t="s">
        <v>106</v>
      </c>
      <c r="E204" s="52">
        <v>0</v>
      </c>
      <c r="F204" s="52">
        <v>0</v>
      </c>
      <c r="G204" s="72">
        <f t="shared" si="60"/>
        <v>0</v>
      </c>
      <c r="H204" s="71">
        <v>0</v>
      </c>
      <c r="I204" s="73">
        <f t="shared" si="71"/>
        <v>0</v>
      </c>
      <c r="J204" s="465">
        <v>2086</v>
      </c>
      <c r="K204" s="78" t="str">
        <f t="shared" si="62"/>
        <v/>
      </c>
      <c r="L204" s="52"/>
    </row>
    <row r="205" spans="1:12" x14ac:dyDescent="0.25">
      <c r="B205" s="79" t="s">
        <v>80</v>
      </c>
      <c r="C205" s="79" t="s">
        <v>152</v>
      </c>
      <c r="D205" s="77" t="s">
        <v>106</v>
      </c>
      <c r="E205" s="52">
        <v>0</v>
      </c>
      <c r="F205" s="52">
        <v>0</v>
      </c>
      <c r="G205" s="72">
        <f t="shared" ref="G205" si="72">ROUND(E205*F205,2)</f>
        <v>0</v>
      </c>
      <c r="H205" s="71">
        <v>0</v>
      </c>
      <c r="I205" s="73">
        <f t="shared" si="71"/>
        <v>0</v>
      </c>
      <c r="J205" s="465">
        <v>2086</v>
      </c>
      <c r="K205" s="78" t="str">
        <f t="shared" si="62"/>
        <v/>
      </c>
      <c r="L205" s="52"/>
    </row>
    <row r="206" spans="1:12" x14ac:dyDescent="0.25">
      <c r="A206" s="37" t="s">
        <v>167</v>
      </c>
      <c r="B206" s="82"/>
      <c r="C206" s="83" t="s">
        <v>190</v>
      </c>
      <c r="D206" s="77"/>
      <c r="G206" s="72"/>
      <c r="H206" s="71"/>
      <c r="I206" s="73"/>
      <c r="J206" s="465">
        <v>2086</v>
      </c>
      <c r="K206" s="78" t="str">
        <f t="shared" si="62"/>
        <v/>
      </c>
      <c r="L206" s="52"/>
    </row>
    <row r="207" spans="1:12" x14ac:dyDescent="0.25">
      <c r="B207" s="82" t="s">
        <v>83</v>
      </c>
      <c r="C207" s="82" t="s">
        <v>82</v>
      </c>
      <c r="D207" s="77" t="s">
        <v>106</v>
      </c>
      <c r="E207" s="52">
        <v>240</v>
      </c>
      <c r="F207" s="52">
        <v>100</v>
      </c>
      <c r="G207" s="72">
        <f t="shared" ref="G207:G218" si="73">ROUND(E207*F207,2)</f>
        <v>24000</v>
      </c>
      <c r="H207" s="461"/>
      <c r="I207" s="73">
        <f t="shared" si="71"/>
        <v>0</v>
      </c>
      <c r="J207" s="465">
        <v>2086</v>
      </c>
      <c r="K207" s="78" t="str">
        <f t="shared" si="62"/>
        <v/>
      </c>
      <c r="L207" s="52"/>
    </row>
    <row r="208" spans="1:12" x14ac:dyDescent="0.25">
      <c r="B208" s="82" t="s">
        <v>85</v>
      </c>
      <c r="C208" s="82" t="s">
        <v>84</v>
      </c>
      <c r="D208" s="77" t="s">
        <v>106</v>
      </c>
      <c r="E208" s="52">
        <v>0</v>
      </c>
      <c r="F208" s="52">
        <v>0</v>
      </c>
      <c r="G208" s="72">
        <f t="shared" si="73"/>
        <v>0</v>
      </c>
      <c r="H208" s="71">
        <v>0</v>
      </c>
      <c r="I208" s="73">
        <f t="shared" si="71"/>
        <v>0</v>
      </c>
      <c r="J208" s="465">
        <v>2086</v>
      </c>
      <c r="K208" s="78" t="str">
        <f t="shared" ref="K208:K220" si="74">+IF(H208&gt;F208,"Importe superior a importe máximo","")</f>
        <v/>
      </c>
      <c r="L208" s="52"/>
    </row>
    <row r="209" spans="1:12" ht="45" x14ac:dyDescent="0.25">
      <c r="B209" s="466" t="s">
        <v>87</v>
      </c>
      <c r="C209" s="467" t="s">
        <v>189</v>
      </c>
      <c r="D209" s="77" t="s">
        <v>106</v>
      </c>
      <c r="E209" s="52">
        <v>0</v>
      </c>
      <c r="F209" s="52">
        <v>0</v>
      </c>
      <c r="G209" s="72">
        <f t="shared" si="73"/>
        <v>0</v>
      </c>
      <c r="H209" s="71">
        <v>0</v>
      </c>
      <c r="I209" s="73">
        <f t="shared" si="71"/>
        <v>0</v>
      </c>
      <c r="J209" s="465">
        <v>2086</v>
      </c>
      <c r="K209" s="78" t="str">
        <f t="shared" si="74"/>
        <v/>
      </c>
      <c r="L209" s="52"/>
    </row>
    <row r="210" spans="1:12" ht="30" x14ac:dyDescent="0.25">
      <c r="B210" s="84" t="s">
        <v>89</v>
      </c>
      <c r="C210" s="85" t="s">
        <v>88</v>
      </c>
      <c r="D210" s="77" t="s">
        <v>106</v>
      </c>
      <c r="E210" s="52">
        <v>0</v>
      </c>
      <c r="F210" s="52">
        <v>0</v>
      </c>
      <c r="G210" s="72">
        <f t="shared" si="73"/>
        <v>0</v>
      </c>
      <c r="H210" s="71">
        <v>0</v>
      </c>
      <c r="I210" s="73">
        <f t="shared" si="71"/>
        <v>0</v>
      </c>
      <c r="J210" s="465">
        <v>2086</v>
      </c>
      <c r="K210" s="78" t="str">
        <f t="shared" si="74"/>
        <v/>
      </c>
      <c r="L210" s="52"/>
    </row>
    <row r="211" spans="1:12" x14ac:dyDescent="0.25">
      <c r="B211" s="84" t="s">
        <v>91</v>
      </c>
      <c r="C211" s="86" t="s">
        <v>90</v>
      </c>
      <c r="D211" s="77" t="s">
        <v>106</v>
      </c>
      <c r="E211" s="52">
        <v>0</v>
      </c>
      <c r="F211" s="52">
        <v>0</v>
      </c>
      <c r="G211" s="72">
        <f t="shared" si="73"/>
        <v>0</v>
      </c>
      <c r="H211" s="71">
        <v>0</v>
      </c>
      <c r="I211" s="73">
        <f t="shared" si="71"/>
        <v>0</v>
      </c>
      <c r="J211" s="465">
        <v>2086</v>
      </c>
      <c r="K211" s="78" t="str">
        <f t="shared" si="74"/>
        <v/>
      </c>
      <c r="L211" s="52"/>
    </row>
    <row r="212" spans="1:12" ht="30" x14ac:dyDescent="0.25">
      <c r="B212" s="84" t="s">
        <v>93</v>
      </c>
      <c r="C212" s="85" t="s">
        <v>153</v>
      </c>
      <c r="D212" s="77" t="s">
        <v>106</v>
      </c>
      <c r="E212" s="52">
        <v>0</v>
      </c>
      <c r="F212" s="52">
        <v>0</v>
      </c>
      <c r="G212" s="72">
        <f t="shared" si="73"/>
        <v>0</v>
      </c>
      <c r="H212" s="71">
        <v>0</v>
      </c>
      <c r="I212" s="73">
        <f t="shared" si="71"/>
        <v>0</v>
      </c>
      <c r="J212" s="465">
        <v>2086</v>
      </c>
      <c r="K212" s="78" t="str">
        <f t="shared" si="74"/>
        <v/>
      </c>
      <c r="L212" s="52"/>
    </row>
    <row r="213" spans="1:12" x14ac:dyDescent="0.25">
      <c r="B213" s="84" t="s">
        <v>94</v>
      </c>
      <c r="C213" s="86" t="s">
        <v>107</v>
      </c>
      <c r="D213" s="77" t="s">
        <v>106</v>
      </c>
      <c r="E213" s="52">
        <v>0</v>
      </c>
      <c r="F213" s="52">
        <v>0</v>
      </c>
      <c r="G213" s="72">
        <f t="shared" si="73"/>
        <v>0</v>
      </c>
      <c r="H213" s="71">
        <v>0</v>
      </c>
      <c r="I213" s="73">
        <f t="shared" si="71"/>
        <v>0</v>
      </c>
      <c r="J213" s="465">
        <v>2086</v>
      </c>
      <c r="K213" s="78" t="str">
        <f t="shared" si="74"/>
        <v/>
      </c>
      <c r="L213" s="52"/>
    </row>
    <row r="214" spans="1:12" x14ac:dyDescent="0.25">
      <c r="A214" s="37" t="s">
        <v>168</v>
      </c>
      <c r="B214" s="89"/>
      <c r="C214" s="90" t="s">
        <v>95</v>
      </c>
      <c r="D214" s="77"/>
      <c r="G214" s="72"/>
      <c r="H214" s="71"/>
      <c r="I214" s="73"/>
      <c r="J214" s="465">
        <v>2086</v>
      </c>
      <c r="K214" s="78" t="str">
        <f t="shared" si="74"/>
        <v/>
      </c>
      <c r="L214" s="52"/>
    </row>
    <row r="215" spans="1:12" x14ac:dyDescent="0.25">
      <c r="B215" s="91" t="s">
        <v>97</v>
      </c>
      <c r="C215" s="91" t="s">
        <v>96</v>
      </c>
      <c r="D215" s="77" t="s">
        <v>106</v>
      </c>
      <c r="E215" s="52">
        <v>0</v>
      </c>
      <c r="F215" s="52">
        <v>0</v>
      </c>
      <c r="G215" s="72">
        <f t="shared" si="73"/>
        <v>0</v>
      </c>
      <c r="H215" s="71">
        <v>0</v>
      </c>
      <c r="I215" s="73">
        <f t="shared" si="71"/>
        <v>0</v>
      </c>
      <c r="J215" s="465">
        <v>2086</v>
      </c>
      <c r="K215" s="78" t="str">
        <f t="shared" si="74"/>
        <v/>
      </c>
      <c r="L215" s="52"/>
    </row>
    <row r="216" spans="1:12" x14ac:dyDescent="0.25">
      <c r="B216" s="91" t="s">
        <v>99</v>
      </c>
      <c r="C216" s="91" t="s">
        <v>98</v>
      </c>
      <c r="D216" s="77" t="s">
        <v>106</v>
      </c>
      <c r="E216" s="52">
        <v>0</v>
      </c>
      <c r="F216" s="52">
        <v>0</v>
      </c>
      <c r="G216" s="72">
        <f t="shared" si="73"/>
        <v>0</v>
      </c>
      <c r="H216" s="71">
        <v>0</v>
      </c>
      <c r="I216" s="73">
        <f t="shared" si="71"/>
        <v>0</v>
      </c>
      <c r="J216" s="465">
        <v>2086</v>
      </c>
      <c r="K216" s="78" t="str">
        <f t="shared" si="74"/>
        <v/>
      </c>
      <c r="L216" s="52"/>
    </row>
    <row r="217" spans="1:12" x14ac:dyDescent="0.25">
      <c r="B217" s="91" t="s">
        <v>101</v>
      </c>
      <c r="C217" s="91" t="s">
        <v>100</v>
      </c>
      <c r="D217" s="77" t="s">
        <v>106</v>
      </c>
      <c r="E217" s="52">
        <v>0</v>
      </c>
      <c r="F217" s="52">
        <v>0</v>
      </c>
      <c r="G217" s="72">
        <f t="shared" si="73"/>
        <v>0</v>
      </c>
      <c r="H217" s="71">
        <v>0</v>
      </c>
      <c r="I217" s="73">
        <f t="shared" si="71"/>
        <v>0</v>
      </c>
      <c r="J217" s="465">
        <v>2086</v>
      </c>
      <c r="K217" s="78" t="str">
        <f t="shared" si="74"/>
        <v/>
      </c>
      <c r="L217" s="52"/>
    </row>
    <row r="218" spans="1:12" ht="30" x14ac:dyDescent="0.25">
      <c r="B218" s="91" t="s">
        <v>102</v>
      </c>
      <c r="C218" s="92" t="s">
        <v>147</v>
      </c>
      <c r="D218" s="77" t="s">
        <v>106</v>
      </c>
      <c r="E218" s="52">
        <v>0</v>
      </c>
      <c r="F218" s="52">
        <v>0</v>
      </c>
      <c r="G218" s="72">
        <f t="shared" si="73"/>
        <v>0</v>
      </c>
      <c r="H218" s="71">
        <v>0</v>
      </c>
      <c r="I218" s="73">
        <f t="shared" si="71"/>
        <v>0</v>
      </c>
      <c r="J218" s="465">
        <v>2086</v>
      </c>
      <c r="K218" s="78" t="str">
        <f t="shared" si="74"/>
        <v/>
      </c>
      <c r="L218" s="52"/>
    </row>
    <row r="219" spans="1:12" x14ac:dyDescent="0.25">
      <c r="A219" s="37" t="s">
        <v>188</v>
      </c>
      <c r="B219" s="93"/>
      <c r="C219" s="94" t="s">
        <v>176</v>
      </c>
      <c r="K219" s="78" t="str">
        <f t="shared" si="74"/>
        <v/>
      </c>
      <c r="L219" s="52"/>
    </row>
    <row r="220" spans="1:12" ht="30" x14ac:dyDescent="0.25">
      <c r="B220" s="95">
        <v>2086</v>
      </c>
      <c r="C220" s="96" t="s">
        <v>177</v>
      </c>
      <c r="D220" s="77" t="s">
        <v>106</v>
      </c>
      <c r="E220" s="52">
        <v>1</v>
      </c>
      <c r="F220" s="52">
        <v>440</v>
      </c>
      <c r="G220" s="72">
        <f t="shared" ref="G220" si="75">ROUND(E220*F220,2)</f>
        <v>440</v>
      </c>
      <c r="H220" s="461"/>
      <c r="I220" s="73">
        <f>ROUND(E220*H220,2)</f>
        <v>0</v>
      </c>
      <c r="J220" s="465">
        <v>2086</v>
      </c>
      <c r="K220" s="78" t="str">
        <f t="shared" si="74"/>
        <v/>
      </c>
      <c r="L220" s="52"/>
    </row>
  </sheetData>
  <sheetProtection algorithmName="SHA-512" hashValue="YQrbHOi49W7hwkuVnBssGHA1WpB5GWp4koK8p2DK5CdbCW+h9ll4y1x2776J9nOhAOllDSkJB5fa8xq9CABTyQ==" saltValue="spKZjVdwZyGnPTj24aBTGQ==" spinCount="100000" sheet="1" objects="1" scenarios="1"/>
  <mergeCells count="8">
    <mergeCell ref="F10:G10"/>
    <mergeCell ref="H10:I10"/>
    <mergeCell ref="A3:C3"/>
    <mergeCell ref="A6:C6"/>
    <mergeCell ref="A8:C8"/>
    <mergeCell ref="E3:G3"/>
    <mergeCell ref="E6:G6"/>
    <mergeCell ref="E8:G8"/>
  </mergeCells>
  <phoneticPr fontId="1" type="noConversion"/>
  <pageMargins left="0.7" right="0.7" top="0.75" bottom="0.75" header="0.3" footer="0.3"/>
  <pageSetup paperSize="9" orientation="portrait" r:id="rId1"/>
  <ignoredErrors>
    <ignoredError sqref="A15 A20 A41:A42 A12" numberStoredAsText="1"/>
    <ignoredError sqref="G39 G19:G20 I19:I20 G40 I39 I40 G42:G43 I42:I43"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0B5D8-BB71-47FF-ABAC-8130B5A84EDC}">
  <dimension ref="A1:B12"/>
  <sheetViews>
    <sheetView topLeftCell="A5" workbookViewId="0">
      <selection activeCell="C7" sqref="C7"/>
    </sheetView>
  </sheetViews>
  <sheetFormatPr baseColWidth="10" defaultRowHeight="15" x14ac:dyDescent="0.25"/>
  <cols>
    <col min="1" max="1" width="86.140625" customWidth="1"/>
  </cols>
  <sheetData>
    <row r="1" spans="1:2" x14ac:dyDescent="0.25">
      <c r="A1" s="45" t="s">
        <v>180</v>
      </c>
    </row>
    <row r="2" spans="1:2" x14ac:dyDescent="0.25">
      <c r="A2" s="37" t="s">
        <v>181</v>
      </c>
    </row>
    <row r="3" spans="1:2" x14ac:dyDescent="0.25">
      <c r="A3" s="37" t="s">
        <v>156</v>
      </c>
    </row>
    <row r="4" spans="1:2" ht="75" x14ac:dyDescent="0.25">
      <c r="A4" s="46" t="s">
        <v>182</v>
      </c>
      <c r="B4" s="7"/>
    </row>
    <row r="5" spans="1:2" ht="30" x14ac:dyDescent="0.25">
      <c r="A5" s="47" t="s">
        <v>183</v>
      </c>
      <c r="B5" s="48"/>
    </row>
    <row r="6" spans="1:2" x14ac:dyDescent="0.25">
      <c r="A6" s="47" t="s">
        <v>187</v>
      </c>
      <c r="B6" s="48"/>
    </row>
    <row r="7" spans="1:2" ht="75" x14ac:dyDescent="0.25">
      <c r="A7" s="49" t="s">
        <v>184</v>
      </c>
    </row>
    <row r="9" spans="1:2" x14ac:dyDescent="0.25">
      <c r="A9" s="7" t="s">
        <v>185</v>
      </c>
    </row>
    <row r="10" spans="1:2" ht="51" x14ac:dyDescent="0.25">
      <c r="A10" s="48" t="s">
        <v>186</v>
      </c>
    </row>
    <row r="11" spans="1:2" ht="30" x14ac:dyDescent="0.25">
      <c r="A11" s="468" t="s">
        <v>191</v>
      </c>
    </row>
    <row r="12" spans="1:2" ht="45" x14ac:dyDescent="0.25">
      <c r="A12" s="468" t="s">
        <v>192</v>
      </c>
    </row>
  </sheetData>
  <sheetProtection algorithmName="SHA-512" hashValue="Cv76enbHTGhT0AztHL0FNBOfm7aeO/uV1LjpCF7P73OSNxFWD+6BH8lWrA/oi4SENjTTSaFeeutD+eC03+01ag==" saltValue="sTkqPc3RCAg189mc4Wod7Q=="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A20E1-9EFF-4609-AF7A-9FC18F18C921}">
  <dimension ref="B1:K17"/>
  <sheetViews>
    <sheetView zoomScale="85" zoomScaleNormal="85" workbookViewId="0">
      <selection activeCell="D8" sqref="D8 I10"/>
    </sheetView>
  </sheetViews>
  <sheetFormatPr baseColWidth="10" defaultColWidth="11.5703125" defaultRowHeight="12.75" x14ac:dyDescent="0.2"/>
  <cols>
    <col min="1" max="1" width="5.85546875" style="1" customWidth="1"/>
    <col min="2" max="2" width="12.28515625" style="1" customWidth="1"/>
    <col min="3" max="3" width="14.85546875" style="2" customWidth="1"/>
    <col min="4" max="4" width="14.7109375" style="2" customWidth="1"/>
    <col min="5" max="5" width="12.42578125" style="2" customWidth="1"/>
    <col min="6" max="6" width="15.7109375" style="2" customWidth="1"/>
    <col min="7" max="7" width="15.7109375" style="1" customWidth="1"/>
    <col min="8" max="8" width="5.85546875" style="1" customWidth="1"/>
    <col min="9" max="9" width="19.5703125" style="1" customWidth="1"/>
    <col min="10" max="10" width="17.85546875" style="1" bestFit="1" customWidth="1"/>
    <col min="11" max="11" width="18.85546875" style="1" customWidth="1"/>
    <col min="12" max="16384" width="11.5703125" style="1"/>
  </cols>
  <sheetData>
    <row r="1" spans="2:11" ht="18.600000000000001" customHeight="1" x14ac:dyDescent="0.2">
      <c r="C1" s="2">
        <v>2026</v>
      </c>
      <c r="D1" s="2">
        <f>+C1+1</f>
        <v>2027</v>
      </c>
      <c r="E1" s="2">
        <f t="shared" ref="E1:F1" si="0">+D1+1</f>
        <v>2028</v>
      </c>
      <c r="F1" s="2">
        <f t="shared" si="0"/>
        <v>2029</v>
      </c>
      <c r="G1" s="2">
        <v>2030</v>
      </c>
      <c r="H1" s="4"/>
    </row>
    <row r="2" spans="2:11" ht="18.600000000000001" customHeight="1" x14ac:dyDescent="0.2">
      <c r="C2" s="8" t="s">
        <v>122</v>
      </c>
      <c r="D2" s="2" t="s">
        <v>123</v>
      </c>
      <c r="E2" s="2" t="s">
        <v>123</v>
      </c>
      <c r="F2" s="2" t="s">
        <v>123</v>
      </c>
      <c r="G2" s="8" t="s">
        <v>124</v>
      </c>
    </row>
    <row r="3" spans="2:11" ht="48" customHeight="1" x14ac:dyDescent="0.2">
      <c r="C3" s="9" t="s">
        <v>125</v>
      </c>
      <c r="D3" s="9" t="s">
        <v>126</v>
      </c>
      <c r="E3" s="9" t="s">
        <v>127</v>
      </c>
      <c r="F3" s="9" t="s">
        <v>128</v>
      </c>
      <c r="G3" s="9" t="s">
        <v>129</v>
      </c>
      <c r="I3" s="3" t="s">
        <v>32</v>
      </c>
      <c r="J3" s="3" t="s">
        <v>33</v>
      </c>
      <c r="K3" s="3" t="s">
        <v>34</v>
      </c>
    </row>
    <row r="4" spans="2:11" ht="34.9" customHeight="1" x14ac:dyDescent="0.2">
      <c r="B4" s="4"/>
      <c r="C4" s="5">
        <f>+C10+C11+C12+C13</f>
        <v>0</v>
      </c>
      <c r="D4" s="5">
        <f t="shared" ref="D4:G4" si="1">+D10+D11+D12+D13</f>
        <v>0</v>
      </c>
      <c r="E4" s="5">
        <f t="shared" si="1"/>
        <v>0</v>
      </c>
      <c r="F4" s="5">
        <f t="shared" si="1"/>
        <v>0</v>
      </c>
      <c r="G4" s="5">
        <f t="shared" si="1"/>
        <v>0</v>
      </c>
      <c r="I4" s="6">
        <f>+F4+E4+D4+C4+G4</f>
        <v>0</v>
      </c>
      <c r="J4" s="6">
        <f>0.21*I4</f>
        <v>0</v>
      </c>
      <c r="K4" s="6">
        <f>+J4+I4</f>
        <v>0</v>
      </c>
    </row>
    <row r="5" spans="2:11" x14ac:dyDescent="0.2">
      <c r="C5" s="38"/>
      <c r="D5" s="38"/>
      <c r="E5" s="38"/>
      <c r="F5" s="38"/>
      <c r="G5" s="38"/>
      <c r="I5" s="39">
        <f>+SUM(C5:G5)</f>
        <v>0</v>
      </c>
    </row>
    <row r="6" spans="2:11" ht="17.45" customHeight="1" thickBot="1" x14ac:dyDescent="0.25">
      <c r="C6" s="10"/>
      <c r="D6" s="10"/>
    </row>
    <row r="7" spans="2:11" ht="17.45" customHeight="1" thickBot="1" x14ac:dyDescent="0.25">
      <c r="C7" s="11">
        <v>2026</v>
      </c>
      <c r="D7" s="11">
        <v>2027</v>
      </c>
      <c r="E7" s="11">
        <v>2028</v>
      </c>
      <c r="F7" s="11">
        <v>2029</v>
      </c>
      <c r="G7" s="12">
        <v>2030</v>
      </c>
      <c r="I7" s="50" t="s">
        <v>179</v>
      </c>
    </row>
    <row r="8" spans="2:11" ht="17.45" customHeight="1" x14ac:dyDescent="0.2">
      <c r="C8" s="40">
        <v>0.21703148296181482</v>
      </c>
      <c r="D8" s="40">
        <v>0.24715197436226008</v>
      </c>
      <c r="E8" s="40">
        <v>0.25719194023409986</v>
      </c>
      <c r="F8" s="40">
        <v>0.25719194023409986</v>
      </c>
      <c r="G8" s="41">
        <v>2.1432662207725207E-2</v>
      </c>
    </row>
    <row r="9" spans="2:11" ht="17.45" customHeight="1" x14ac:dyDescent="0.2"/>
    <row r="10" spans="2:11" ht="17.45" customHeight="1" x14ac:dyDescent="0.2">
      <c r="B10" s="42">
        <v>2079</v>
      </c>
      <c r="C10" s="43">
        <f>+ROUND(C$8*$I10,2)</f>
        <v>0</v>
      </c>
      <c r="D10" s="43">
        <f t="shared" ref="D10:F13" si="2">+ROUND(D$8*$I10,2)</f>
        <v>0</v>
      </c>
      <c r="E10" s="43">
        <f t="shared" si="2"/>
        <v>0</v>
      </c>
      <c r="F10" s="43">
        <f t="shared" si="2"/>
        <v>0</v>
      </c>
      <c r="G10" s="43">
        <f>+I10-SUM(C10:F10)</f>
        <v>0</v>
      </c>
      <c r="H10" s="44"/>
      <c r="I10" s="44">
        <f>+SUMIF(CERTO!$J$15:$J$223,B10,CERTO!$I$15:$I$233)</f>
        <v>0</v>
      </c>
      <c r="J10" s="39"/>
    </row>
    <row r="11" spans="2:11" x14ac:dyDescent="0.2">
      <c r="B11" s="42">
        <v>2080</v>
      </c>
      <c r="C11" s="43">
        <f t="shared" ref="C11:C13" si="3">+ROUND(C$8*$I11,2)</f>
        <v>0</v>
      </c>
      <c r="D11" s="43">
        <f t="shared" si="2"/>
        <v>0</v>
      </c>
      <c r="E11" s="43">
        <f t="shared" si="2"/>
        <v>0</v>
      </c>
      <c r="F11" s="43">
        <f t="shared" si="2"/>
        <v>0</v>
      </c>
      <c r="G11" s="43">
        <f t="shared" ref="G11:G13" si="4">+I11-SUM(C11:F11)</f>
        <v>0</v>
      </c>
      <c r="H11" s="44"/>
      <c r="I11" s="44">
        <f>+SUMIF(CERTO!$J$15:$J$223,B11,CERTO!$I$15:$I$233)</f>
        <v>0</v>
      </c>
      <c r="J11" s="39"/>
    </row>
    <row r="12" spans="2:11" x14ac:dyDescent="0.2">
      <c r="B12" s="42">
        <v>2085</v>
      </c>
      <c r="C12" s="43">
        <f t="shared" si="3"/>
        <v>0</v>
      </c>
      <c r="D12" s="43">
        <f t="shared" si="2"/>
        <v>0</v>
      </c>
      <c r="E12" s="43">
        <f t="shared" si="2"/>
        <v>0</v>
      </c>
      <c r="F12" s="43">
        <f t="shared" si="2"/>
        <v>0</v>
      </c>
      <c r="G12" s="43">
        <f t="shared" si="4"/>
        <v>0</v>
      </c>
      <c r="H12" s="44"/>
      <c r="I12" s="44">
        <f>+SUMIF(CERTO!$J$15:$J$223,B12,CERTO!$I$15:$I$233)</f>
        <v>0</v>
      </c>
      <c r="J12" s="39"/>
    </row>
    <row r="13" spans="2:11" x14ac:dyDescent="0.2">
      <c r="B13" s="42">
        <v>2086</v>
      </c>
      <c r="C13" s="43">
        <f t="shared" si="3"/>
        <v>0</v>
      </c>
      <c r="D13" s="43">
        <f t="shared" si="2"/>
        <v>0</v>
      </c>
      <c r="E13" s="43">
        <f t="shared" si="2"/>
        <v>0</v>
      </c>
      <c r="F13" s="43">
        <f t="shared" si="2"/>
        <v>0</v>
      </c>
      <c r="G13" s="43">
        <f t="shared" si="4"/>
        <v>0</v>
      </c>
      <c r="H13" s="44"/>
      <c r="I13" s="44">
        <f>+SUMIF(CERTO!$J$15:$J$223,B13,CERTO!$I$15:$I$233)</f>
        <v>0</v>
      </c>
      <c r="J13" s="39"/>
    </row>
    <row r="15" spans="2:11" x14ac:dyDescent="0.2">
      <c r="C15" s="38"/>
      <c r="D15" s="38"/>
      <c r="E15" s="38"/>
      <c r="F15" s="38"/>
      <c r="G15" s="38"/>
      <c r="I15" s="39"/>
    </row>
    <row r="17" spans="3:9" x14ac:dyDescent="0.2">
      <c r="C17" s="38"/>
      <c r="D17" s="38"/>
      <c r="E17" s="38"/>
      <c r="F17" s="38"/>
      <c r="G17" s="38"/>
      <c r="I17" s="38"/>
    </row>
  </sheetData>
  <sheetProtection algorithmName="SHA-512" hashValue="yGYSvKBq67b4cZuA2udStcbhLCuOvaWspmOPZd1BV7hjyVAfpvN6V7TPqH4ARJo0Q6IwX5d/bosLQ515u987tw==" saltValue="SNa+euQ+XokjvDoLPqD3jg==" spinCount="100000" sheet="1" objects="1" scenarios="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E81AA-1F0C-4398-B611-BF818845EE4A}">
  <dimension ref="A1:X71"/>
  <sheetViews>
    <sheetView showGridLines="0" zoomScale="85" zoomScaleNormal="85" workbookViewId="0">
      <pane xSplit="3" ySplit="1" topLeftCell="D2" activePane="bottomRight" state="frozen"/>
      <selection pane="topRight" activeCell="E1" sqref="E1"/>
      <selection pane="bottomLeft" activeCell="A2" sqref="A2"/>
      <selection pane="bottomRight" activeCell="F48" sqref="F48"/>
    </sheetView>
  </sheetViews>
  <sheetFormatPr baseColWidth="10" defaultColWidth="11.42578125" defaultRowHeight="12.75" x14ac:dyDescent="0.25"/>
  <cols>
    <col min="1" max="1" width="18.85546875" style="99" customWidth="1"/>
    <col min="2" max="2" width="57.7109375" style="7" customWidth="1"/>
    <col min="3" max="3" width="24.85546875" style="7" customWidth="1"/>
    <col min="4" max="5" width="14.42578125" style="445" customWidth="1"/>
    <col min="6" max="6" width="14.5703125" style="445" customWidth="1"/>
    <col min="7" max="7" width="19.5703125" style="140" customWidth="1"/>
    <col min="8" max="9" width="14.42578125" style="446" customWidth="1"/>
    <col min="10" max="10" width="14.42578125" style="7" customWidth="1"/>
    <col min="11" max="11" width="19.5703125" style="7" customWidth="1"/>
    <col min="12" max="12" width="14.7109375" style="138" customWidth="1"/>
    <col min="13" max="13" width="14.42578125" style="138" customWidth="1"/>
    <col min="14" max="14" width="14.42578125" style="447" customWidth="1"/>
    <col min="15" max="15" width="19.5703125" style="7" customWidth="1"/>
    <col min="16" max="17" width="14.42578125" style="7" customWidth="1"/>
    <col min="18" max="19" width="16.28515625" style="7" customWidth="1"/>
    <col min="20" max="22" width="14.42578125" style="7" customWidth="1"/>
    <col min="23" max="23" width="19.5703125" style="7" customWidth="1"/>
    <col min="24" max="24" width="12.42578125" style="7" bestFit="1" customWidth="1"/>
    <col min="25" max="16384" width="11.42578125" style="7"/>
  </cols>
  <sheetData>
    <row r="1" spans="1:24" s="99" customFormat="1" ht="26.25" customHeight="1" thickBot="1" x14ac:dyDescent="0.3">
      <c r="A1" s="484" t="s">
        <v>130</v>
      </c>
      <c r="B1" s="484"/>
      <c r="C1" s="97"/>
      <c r="D1" s="485" t="s">
        <v>121</v>
      </c>
      <c r="E1" s="486"/>
      <c r="F1" s="486"/>
      <c r="G1" s="486"/>
      <c r="H1" s="481" t="s">
        <v>131</v>
      </c>
      <c r="I1" s="482"/>
      <c r="J1" s="482"/>
      <c r="K1" s="483"/>
      <c r="L1" s="481" t="s">
        <v>132</v>
      </c>
      <c r="M1" s="482"/>
      <c r="N1" s="482"/>
      <c r="O1" s="483"/>
      <c r="P1" s="481" t="s">
        <v>133</v>
      </c>
      <c r="Q1" s="482"/>
      <c r="R1" s="482"/>
      <c r="S1" s="482"/>
      <c r="T1" s="481" t="s">
        <v>134</v>
      </c>
      <c r="U1" s="482"/>
      <c r="V1" s="482"/>
      <c r="W1" s="483"/>
      <c r="X1" s="98"/>
    </row>
    <row r="2" spans="1:24" ht="38.25" customHeight="1" thickBot="1" x14ac:dyDescent="0.3">
      <c r="A2" s="100"/>
      <c r="B2" s="101" t="s">
        <v>35</v>
      </c>
      <c r="C2" s="102" t="s">
        <v>36</v>
      </c>
      <c r="D2" s="103" t="s">
        <v>37</v>
      </c>
      <c r="E2" s="104" t="s">
        <v>157</v>
      </c>
      <c r="F2" s="105" t="s">
        <v>158</v>
      </c>
      <c r="G2" s="106" t="s">
        <v>135</v>
      </c>
      <c r="H2" s="107" t="s">
        <v>37</v>
      </c>
      <c r="I2" s="104" t="s">
        <v>157</v>
      </c>
      <c r="J2" s="105" t="s">
        <v>158</v>
      </c>
      <c r="K2" s="106" t="s">
        <v>135</v>
      </c>
      <c r="L2" s="108" t="s">
        <v>37</v>
      </c>
      <c r="M2" s="104" t="s">
        <v>157</v>
      </c>
      <c r="N2" s="105" t="s">
        <v>158</v>
      </c>
      <c r="O2" s="109" t="s">
        <v>135</v>
      </c>
      <c r="P2" s="107" t="s">
        <v>37</v>
      </c>
      <c r="Q2" s="104" t="s">
        <v>157</v>
      </c>
      <c r="R2" s="105" t="s">
        <v>158</v>
      </c>
      <c r="S2" s="109" t="s">
        <v>135</v>
      </c>
      <c r="T2" s="110" t="s">
        <v>37</v>
      </c>
      <c r="U2" s="104" t="s">
        <v>157</v>
      </c>
      <c r="V2" s="105" t="s">
        <v>158</v>
      </c>
      <c r="W2" s="111" t="s">
        <v>135</v>
      </c>
      <c r="X2" s="112"/>
    </row>
    <row r="3" spans="1:24" ht="12.95" customHeight="1" thickBot="1" x14ac:dyDescent="0.3">
      <c r="A3" s="491" t="s">
        <v>38</v>
      </c>
      <c r="B3" s="113" t="s">
        <v>39</v>
      </c>
      <c r="C3" s="114" t="s">
        <v>40</v>
      </c>
      <c r="D3" s="115">
        <f>[1]PLANIF_MENSUAL_INVIERNO!AK8*0.25</f>
        <v>7879.5</v>
      </c>
      <c r="E3" s="116">
        <v>9</v>
      </c>
      <c r="F3" s="117">
        <v>9</v>
      </c>
      <c r="G3" s="118">
        <f t="shared" ref="G3:G8" si="0">+D3*F3</f>
        <v>70915.5</v>
      </c>
      <c r="H3" s="119">
        <f>[1]PLANIF_MENSUAL_INVIERNO!AK9*0.25+[1]PLANIF_MENSUAL_INVIERNO!AK10*0.25</f>
        <v>10980</v>
      </c>
      <c r="I3" s="120">
        <v>9</v>
      </c>
      <c r="J3" s="117">
        <f>+I3</f>
        <v>9</v>
      </c>
      <c r="K3" s="121">
        <f t="shared" ref="K3:K8" si="1">H3*J3</f>
        <v>98820</v>
      </c>
      <c r="L3" s="122">
        <f>[1]PLANIF_MENSUAL_INVIERNO!AK11*0.25</f>
        <v>4917.8571428571431</v>
      </c>
      <c r="M3" s="13">
        <v>9</v>
      </c>
      <c r="N3" s="117">
        <f>+M3</f>
        <v>9</v>
      </c>
      <c r="O3" s="121">
        <f t="shared" ref="O3:O8" si="2">L3*N3</f>
        <v>44260.71428571429</v>
      </c>
      <c r="P3" s="123">
        <f>[1]PLANIF_MENSUAL_INVIERNO!AK15*0.25+[1]PLANIF_MENSUAL_INVIERNO!AK16*0.25</f>
        <v>13638.374999999998</v>
      </c>
      <c r="Q3" s="124">
        <v>12</v>
      </c>
      <c r="R3" s="117">
        <f>+Q3</f>
        <v>12</v>
      </c>
      <c r="S3" s="121">
        <f t="shared" ref="S3:S8" si="3">P3*R3</f>
        <v>163660.49999999997</v>
      </c>
      <c r="T3" s="125"/>
      <c r="U3" s="126"/>
      <c r="V3" s="127"/>
      <c r="W3" s="128"/>
    </row>
    <row r="4" spans="1:24" ht="12.95" customHeight="1" thickBot="1" x14ac:dyDescent="0.3">
      <c r="A4" s="492"/>
      <c r="B4" s="129" t="s">
        <v>41</v>
      </c>
      <c r="C4" s="130" t="s">
        <v>42</v>
      </c>
      <c r="D4" s="131">
        <f>[1]PLANIF_MENSUAL_INVIERNO!AK8*0.75</f>
        <v>23638.5</v>
      </c>
      <c r="E4" s="132">
        <v>13</v>
      </c>
      <c r="F4" s="117">
        <f t="shared" ref="F4:F8" si="4">+E4</f>
        <v>13</v>
      </c>
      <c r="G4" s="133">
        <f t="shared" si="0"/>
        <v>307300.5</v>
      </c>
      <c r="H4" s="134">
        <f>([1]PLANIF_MENSUAL_INVIERNO!AK9*0.75)+([1]PLANIF_MENSUAL_INVIERNO!AK10*0.75)</f>
        <v>32940</v>
      </c>
      <c r="I4" s="135">
        <v>13</v>
      </c>
      <c r="J4" s="136">
        <f t="shared" ref="J4:J8" si="5">+I4</f>
        <v>13</v>
      </c>
      <c r="K4" s="137">
        <f t="shared" si="1"/>
        <v>428220</v>
      </c>
      <c r="L4" s="138">
        <f>[1]PLANIF_MENSUAL_INVIERNO!AK11*0.75</f>
        <v>14753.571428571429</v>
      </c>
      <c r="M4" s="14">
        <v>13</v>
      </c>
      <c r="N4" s="136">
        <f t="shared" ref="N4:N8" si="6">+M4</f>
        <v>13</v>
      </c>
      <c r="O4" s="137">
        <f t="shared" si="2"/>
        <v>191796.42857142858</v>
      </c>
      <c r="P4" s="139">
        <f>[1]PLANIF_MENSUAL_INVIERNO!AK15*0.75+[1]PLANIF_MENSUAL_INVIERNO!AK16*0.75</f>
        <v>40915.124999999993</v>
      </c>
      <c r="Q4" s="140">
        <v>16</v>
      </c>
      <c r="R4" s="136">
        <f t="shared" ref="R4:R8" si="7">+Q4</f>
        <v>16</v>
      </c>
      <c r="S4" s="141">
        <f t="shared" si="3"/>
        <v>654641.99999999988</v>
      </c>
      <c r="T4" s="142"/>
      <c r="U4" s="143"/>
      <c r="V4" s="144"/>
      <c r="W4" s="145"/>
    </row>
    <row r="5" spans="1:24" ht="12.95" customHeight="1" thickBot="1" x14ac:dyDescent="0.3">
      <c r="A5" s="492"/>
      <c r="B5" s="129" t="s">
        <v>43</v>
      </c>
      <c r="C5" s="130" t="s">
        <v>44</v>
      </c>
      <c r="D5" s="131">
        <f>11*([1]PLANIF_MENSUAL_INVIERNO!AE8)*0.4</f>
        <v>1914</v>
      </c>
      <c r="E5" s="146">
        <v>20</v>
      </c>
      <c r="F5" s="117">
        <f t="shared" si="4"/>
        <v>20</v>
      </c>
      <c r="G5" s="147">
        <f t="shared" si="0"/>
        <v>38280</v>
      </c>
      <c r="H5" s="134">
        <f>11*([1]PLANIF_MENSUAL_INVIERNO!AE9+[1]PLANIF_MENSUAL_INVIERNO!AE10)*0.4</f>
        <v>2376</v>
      </c>
      <c r="I5" s="148">
        <v>20</v>
      </c>
      <c r="J5" s="149">
        <f t="shared" si="5"/>
        <v>20</v>
      </c>
      <c r="K5" s="150">
        <f t="shared" si="1"/>
        <v>47520</v>
      </c>
      <c r="L5" s="151">
        <f>11*[1]PLANIF_MENSUAL_INVIERNO!AE11*0.4</f>
        <v>989.99999999999989</v>
      </c>
      <c r="M5" s="15">
        <v>20</v>
      </c>
      <c r="N5" s="149">
        <f t="shared" si="6"/>
        <v>20</v>
      </c>
      <c r="O5" s="137">
        <f t="shared" si="2"/>
        <v>19799.999999999996</v>
      </c>
      <c r="P5" s="139">
        <f>11*([1]PLANIF_MENSUAL_INVIERNO!AE15+[1]PLANIF_MENSUAL_INVIERNO!AE16)*0.4</f>
        <v>3316.5000000000009</v>
      </c>
      <c r="Q5" s="152">
        <v>21</v>
      </c>
      <c r="R5" s="149">
        <f t="shared" si="7"/>
        <v>21</v>
      </c>
      <c r="S5" s="150">
        <f t="shared" si="3"/>
        <v>69646.500000000015</v>
      </c>
      <c r="T5" s="142"/>
      <c r="U5" s="143"/>
      <c r="V5" s="144"/>
      <c r="W5" s="145"/>
    </row>
    <row r="6" spans="1:24" ht="12.95" customHeight="1" thickBot="1" x14ac:dyDescent="0.3">
      <c r="A6" s="492"/>
      <c r="B6" s="129" t="s">
        <v>45</v>
      </c>
      <c r="C6" s="130" t="s">
        <v>46</v>
      </c>
      <c r="D6" s="131">
        <f>11*([1]PLANIF_MENSUAL_INVIERNO!AE8)*0.6</f>
        <v>2871</v>
      </c>
      <c r="E6" s="153">
        <v>8</v>
      </c>
      <c r="F6" s="117">
        <f t="shared" si="4"/>
        <v>8</v>
      </c>
      <c r="G6" s="133">
        <f t="shared" si="0"/>
        <v>22968</v>
      </c>
      <c r="H6" s="134">
        <f>11*([1]PLANIF_MENSUAL_INVIERNO!AE9+[1]PLANIF_MENSUAL_INVIERNO!AE10)*0.6</f>
        <v>3564</v>
      </c>
      <c r="I6" s="135">
        <v>8</v>
      </c>
      <c r="J6" s="154">
        <f t="shared" si="5"/>
        <v>8</v>
      </c>
      <c r="K6" s="137">
        <f t="shared" si="1"/>
        <v>28512</v>
      </c>
      <c r="L6" s="138">
        <f>11*[1]PLANIF_MENSUAL_INVIERNO!AE11*0.6</f>
        <v>1484.9999999999998</v>
      </c>
      <c r="M6" s="16">
        <v>8</v>
      </c>
      <c r="N6" s="154">
        <f t="shared" si="6"/>
        <v>8</v>
      </c>
      <c r="O6" s="141">
        <f t="shared" si="2"/>
        <v>11879.999999999998</v>
      </c>
      <c r="P6" s="139">
        <f>11*([1]PLANIF_MENSUAL_INVIERNO!AE15+[1]PLANIF_MENSUAL_INVIERNO!AE16)*0.6</f>
        <v>4974.7500000000009</v>
      </c>
      <c r="Q6" s="140">
        <v>10</v>
      </c>
      <c r="R6" s="154">
        <f t="shared" si="7"/>
        <v>10</v>
      </c>
      <c r="S6" s="137">
        <f t="shared" si="3"/>
        <v>49747.500000000007</v>
      </c>
      <c r="T6" s="142"/>
      <c r="U6" s="143"/>
      <c r="V6" s="144"/>
      <c r="W6" s="145"/>
    </row>
    <row r="7" spans="1:24" ht="12.95" customHeight="1" thickBot="1" x14ac:dyDescent="0.3">
      <c r="A7" s="492"/>
      <c r="B7" s="129" t="s">
        <v>47</v>
      </c>
      <c r="C7" s="130" t="s">
        <v>48</v>
      </c>
      <c r="D7" s="131">
        <v>2393</v>
      </c>
      <c r="E7" s="146">
        <v>25</v>
      </c>
      <c r="F7" s="117">
        <f t="shared" si="4"/>
        <v>25</v>
      </c>
      <c r="G7" s="155">
        <f t="shared" si="0"/>
        <v>59825</v>
      </c>
      <c r="H7" s="134">
        <v>3200</v>
      </c>
      <c r="I7" s="156">
        <v>25</v>
      </c>
      <c r="J7" s="149">
        <f t="shared" si="5"/>
        <v>25</v>
      </c>
      <c r="K7" s="157">
        <f t="shared" si="1"/>
        <v>80000</v>
      </c>
      <c r="L7" s="158">
        <v>1238</v>
      </c>
      <c r="M7" s="17">
        <v>25</v>
      </c>
      <c r="N7" s="149">
        <f t="shared" si="6"/>
        <v>25</v>
      </c>
      <c r="O7" s="150">
        <f t="shared" si="2"/>
        <v>30950</v>
      </c>
      <c r="P7" s="139">
        <f>11*[1]PLANIF_MENSUAL_INVIERNO!AF15</f>
        <v>3712.5000000000005</v>
      </c>
      <c r="Q7" s="152">
        <v>27</v>
      </c>
      <c r="R7" s="149">
        <f t="shared" si="7"/>
        <v>27</v>
      </c>
      <c r="S7" s="141">
        <f t="shared" si="3"/>
        <v>100237.50000000001</v>
      </c>
      <c r="T7" s="142"/>
      <c r="U7" s="143"/>
      <c r="V7" s="144"/>
      <c r="W7" s="145"/>
    </row>
    <row r="8" spans="1:24" ht="12.95" customHeight="1" x14ac:dyDescent="0.25">
      <c r="A8" s="492"/>
      <c r="B8" s="129" t="s">
        <v>49</v>
      </c>
      <c r="C8" s="130" t="s">
        <v>50</v>
      </c>
      <c r="D8" s="131">
        <f>36*4</f>
        <v>144</v>
      </c>
      <c r="E8" s="153">
        <v>175</v>
      </c>
      <c r="F8" s="117">
        <f t="shared" si="4"/>
        <v>175</v>
      </c>
      <c r="G8" s="147">
        <f t="shared" si="0"/>
        <v>25200</v>
      </c>
      <c r="H8" s="134">
        <f>36*6</f>
        <v>216</v>
      </c>
      <c r="I8" s="148">
        <v>175</v>
      </c>
      <c r="J8" s="154">
        <f t="shared" si="5"/>
        <v>175</v>
      </c>
      <c r="K8" s="137">
        <f t="shared" si="1"/>
        <v>37800</v>
      </c>
      <c r="L8" s="158">
        <f>10*6</f>
        <v>60</v>
      </c>
      <c r="M8" s="14">
        <v>175</v>
      </c>
      <c r="N8" s="154">
        <f t="shared" si="6"/>
        <v>175</v>
      </c>
      <c r="O8" s="137">
        <f t="shared" si="2"/>
        <v>10500</v>
      </c>
      <c r="P8" s="139">
        <v>200</v>
      </c>
      <c r="Q8" s="152">
        <v>200</v>
      </c>
      <c r="R8" s="154">
        <f t="shared" si="7"/>
        <v>200</v>
      </c>
      <c r="S8" s="150">
        <f t="shared" si="3"/>
        <v>40000</v>
      </c>
      <c r="T8" s="142"/>
      <c r="U8" s="143"/>
      <c r="V8" s="144"/>
      <c r="W8" s="145"/>
    </row>
    <row r="9" spans="1:24" ht="12.75" customHeight="1" thickBot="1" x14ac:dyDescent="0.3">
      <c r="A9" s="492"/>
      <c r="B9" s="129" t="s">
        <v>136</v>
      </c>
      <c r="C9" s="130" t="s">
        <v>137</v>
      </c>
      <c r="D9" s="159"/>
      <c r="E9" s="160"/>
      <c r="F9" s="161"/>
      <c r="G9" s="162"/>
      <c r="H9" s="163"/>
      <c r="I9" s="164"/>
      <c r="J9" s="165"/>
      <c r="K9" s="166"/>
      <c r="L9" s="167"/>
      <c r="M9" s="18"/>
      <c r="N9" s="168"/>
      <c r="O9" s="169"/>
      <c r="P9" s="170"/>
      <c r="Q9" s="171"/>
      <c r="R9" s="172"/>
      <c r="S9" s="173"/>
      <c r="T9" s="174">
        <v>105</v>
      </c>
      <c r="U9" s="152">
        <v>210</v>
      </c>
      <c r="V9" s="175">
        <f>+U9</f>
        <v>210</v>
      </c>
      <c r="W9" s="176">
        <f>T9*V9</f>
        <v>22050</v>
      </c>
    </row>
    <row r="10" spans="1:24" ht="12.75" customHeight="1" thickBot="1" x14ac:dyDescent="0.3">
      <c r="A10" s="493"/>
      <c r="B10" s="494" t="s">
        <v>138</v>
      </c>
      <c r="C10" s="495"/>
      <c r="D10" s="177"/>
      <c r="E10" s="178"/>
      <c r="F10" s="179"/>
      <c r="G10" s="180">
        <f>+SUM(G3:G9)</f>
        <v>524489</v>
      </c>
      <c r="H10" s="177"/>
      <c r="I10" s="181"/>
      <c r="J10" s="182"/>
      <c r="K10" s="183">
        <f>+SUM(K3:K9)</f>
        <v>720872</v>
      </c>
      <c r="L10" s="184"/>
      <c r="M10" s="19"/>
      <c r="N10" s="185"/>
      <c r="O10" s="186">
        <f>O3+O4+O5+O6+O7+O8</f>
        <v>309187.14285714284</v>
      </c>
      <c r="P10" s="187"/>
      <c r="Q10" s="188"/>
      <c r="R10" s="189"/>
      <c r="S10" s="183">
        <f>+SUM(S3:S9)</f>
        <v>1077934</v>
      </c>
      <c r="T10" s="187"/>
      <c r="U10" s="190"/>
      <c r="V10" s="191"/>
      <c r="W10" s="192">
        <f>+SUM(W3:W9)</f>
        <v>22050</v>
      </c>
    </row>
    <row r="11" spans="1:24" ht="12.95" customHeight="1" x14ac:dyDescent="0.25">
      <c r="A11" s="491" t="s">
        <v>139</v>
      </c>
      <c r="B11" s="193" t="s">
        <v>52</v>
      </c>
      <c r="C11" s="194" t="s">
        <v>53</v>
      </c>
      <c r="D11" s="195">
        <v>288</v>
      </c>
      <c r="E11" s="196">
        <v>90</v>
      </c>
      <c r="F11" s="117">
        <f t="shared" ref="F11" si="8">+E11</f>
        <v>90</v>
      </c>
      <c r="G11" s="36">
        <f>+D11*F11</f>
        <v>25920</v>
      </c>
      <c r="H11" s="197">
        <f>H8*2</f>
        <v>432</v>
      </c>
      <c r="I11" s="196">
        <v>90</v>
      </c>
      <c r="J11" s="198">
        <f>+I11</f>
        <v>90</v>
      </c>
      <c r="K11" s="199">
        <f>H11*J11</f>
        <v>38880</v>
      </c>
      <c r="L11" s="200">
        <v>120</v>
      </c>
      <c r="M11" s="20">
        <v>90</v>
      </c>
      <c r="N11" s="201">
        <f>+M11</f>
        <v>90</v>
      </c>
      <c r="O11" s="202">
        <f>L11*N11</f>
        <v>10800</v>
      </c>
      <c r="P11" s="203">
        <v>30</v>
      </c>
      <c r="Q11" s="196">
        <v>100</v>
      </c>
      <c r="R11" s="204">
        <f>+Q11</f>
        <v>100</v>
      </c>
      <c r="S11" s="205">
        <f>P11*R11</f>
        <v>3000</v>
      </c>
      <c r="T11" s="206"/>
      <c r="U11" s="207"/>
      <c r="V11" s="208"/>
      <c r="W11" s="209"/>
    </row>
    <row r="12" spans="1:24" ht="12.95" customHeight="1" thickBot="1" x14ac:dyDescent="0.3">
      <c r="A12" s="492"/>
      <c r="B12" s="193" t="s">
        <v>54</v>
      </c>
      <c r="C12" s="194" t="s">
        <v>55</v>
      </c>
      <c r="D12" s="210"/>
      <c r="E12" s="211"/>
      <c r="F12" s="212"/>
      <c r="G12" s="213"/>
      <c r="H12" s="210"/>
      <c r="I12" s="214"/>
      <c r="J12" s="215"/>
      <c r="K12" s="216"/>
      <c r="L12" s="217"/>
      <c r="M12" s="21"/>
      <c r="N12" s="218"/>
      <c r="O12" s="219"/>
      <c r="P12" s="220"/>
      <c r="Q12" s="221"/>
      <c r="R12" s="221"/>
      <c r="S12" s="222"/>
      <c r="T12" s="206"/>
      <c r="U12" s="223"/>
      <c r="V12" s="224"/>
      <c r="W12" s="209"/>
    </row>
    <row r="13" spans="1:24" ht="12.95" customHeight="1" thickBot="1" x14ac:dyDescent="0.3">
      <c r="A13" s="492"/>
      <c r="B13" s="225" t="s">
        <v>56</v>
      </c>
      <c r="C13" s="226" t="s">
        <v>57</v>
      </c>
      <c r="D13" s="227">
        <v>144</v>
      </c>
      <c r="E13" s="228">
        <v>80</v>
      </c>
      <c r="F13" s="117">
        <f t="shared" ref="F13:F14" si="9">+E13</f>
        <v>80</v>
      </c>
      <c r="G13" s="36">
        <f>+D13*F13</f>
        <v>11520</v>
      </c>
      <c r="H13" s="227">
        <v>216</v>
      </c>
      <c r="I13" s="229">
        <v>80</v>
      </c>
      <c r="J13" s="230">
        <f t="shared" ref="J13:J14" si="10">+I13</f>
        <v>80</v>
      </c>
      <c r="K13" s="231">
        <f>H13*J13</f>
        <v>17280</v>
      </c>
      <c r="L13" s="232">
        <v>60</v>
      </c>
      <c r="M13" s="22">
        <v>80</v>
      </c>
      <c r="N13" s="233">
        <f t="shared" ref="N13:N14" si="11">+M13</f>
        <v>80</v>
      </c>
      <c r="O13" s="234">
        <f>L13*N13</f>
        <v>4800</v>
      </c>
      <c r="P13" s="235"/>
      <c r="Q13" s="236"/>
      <c r="R13" s="237">
        <f t="shared" ref="R13:R14" si="12">+Q13</f>
        <v>0</v>
      </c>
      <c r="S13" s="222"/>
      <c r="T13" s="238"/>
      <c r="U13" s="239"/>
      <c r="V13" s="240"/>
      <c r="W13" s="241"/>
    </row>
    <row r="14" spans="1:24" ht="12.95" customHeight="1" x14ac:dyDescent="0.25">
      <c r="A14" s="492"/>
      <c r="B14" s="225" t="s">
        <v>58</v>
      </c>
      <c r="C14" s="226" t="s">
        <v>59</v>
      </c>
      <c r="D14" s="227">
        <v>60</v>
      </c>
      <c r="E14" s="228">
        <v>90</v>
      </c>
      <c r="F14" s="117">
        <f t="shared" si="9"/>
        <v>90</v>
      </c>
      <c r="G14" s="36">
        <f>+D14*F14</f>
        <v>5400</v>
      </c>
      <c r="H14" s="227">
        <v>80</v>
      </c>
      <c r="I14" s="196">
        <v>90</v>
      </c>
      <c r="J14" s="198">
        <f t="shared" si="10"/>
        <v>90</v>
      </c>
      <c r="K14" s="231">
        <f>H14*J14</f>
        <v>7200</v>
      </c>
      <c r="L14" s="242"/>
      <c r="M14" s="21"/>
      <c r="N14" s="243">
        <f t="shared" si="11"/>
        <v>0</v>
      </c>
      <c r="O14" s="244"/>
      <c r="P14" s="235"/>
      <c r="Q14" s="236"/>
      <c r="R14" s="237">
        <f t="shared" si="12"/>
        <v>0</v>
      </c>
      <c r="S14" s="222"/>
      <c r="T14" s="238"/>
      <c r="U14" s="245"/>
      <c r="V14" s="246"/>
      <c r="W14" s="241"/>
    </row>
    <row r="15" spans="1:24" ht="12.95" customHeight="1" thickBot="1" x14ac:dyDescent="0.3">
      <c r="A15" s="492"/>
      <c r="B15" s="225" t="s">
        <v>60</v>
      </c>
      <c r="C15" s="226" t="s">
        <v>61</v>
      </c>
      <c r="D15" s="247"/>
      <c r="E15" s="248"/>
      <c r="F15" s="212"/>
      <c r="G15" s="213"/>
      <c r="H15" s="247"/>
      <c r="I15" s="236"/>
      <c r="J15" s="249"/>
      <c r="K15" s="219"/>
      <c r="L15" s="242"/>
      <c r="M15" s="18"/>
      <c r="N15" s="250"/>
      <c r="O15" s="251"/>
      <c r="P15" s="235"/>
      <c r="Q15" s="252"/>
      <c r="R15" s="221"/>
      <c r="S15" s="222"/>
      <c r="T15" s="238"/>
      <c r="U15" s="245"/>
      <c r="V15" s="246"/>
      <c r="W15" s="241"/>
    </row>
    <row r="16" spans="1:24" ht="12.95" customHeight="1" thickBot="1" x14ac:dyDescent="0.3">
      <c r="A16" s="492"/>
      <c r="B16" s="225" t="s">
        <v>62</v>
      </c>
      <c r="C16" s="226" t="s">
        <v>63</v>
      </c>
      <c r="D16" s="227">
        <v>40</v>
      </c>
      <c r="E16" s="228">
        <v>50</v>
      </c>
      <c r="F16" s="117">
        <f t="shared" ref="F16:F23" si="13">+E16</f>
        <v>50</v>
      </c>
      <c r="G16" s="36">
        <f t="shared" ref="G16:G23" si="14">+D16*F16</f>
        <v>2000</v>
      </c>
      <c r="H16" s="227">
        <v>24</v>
      </c>
      <c r="I16" s="253">
        <v>50</v>
      </c>
      <c r="J16" s="230">
        <f t="shared" ref="J16:J18" si="15">+I16</f>
        <v>50</v>
      </c>
      <c r="K16" s="231">
        <f>H16*J16</f>
        <v>1200</v>
      </c>
      <c r="L16" s="232">
        <v>12</v>
      </c>
      <c r="M16" s="23">
        <v>50</v>
      </c>
      <c r="N16" s="230">
        <f t="shared" ref="N16:N18" si="16">+M16</f>
        <v>50</v>
      </c>
      <c r="O16" s="231">
        <f>L16*N16</f>
        <v>600</v>
      </c>
      <c r="P16" s="254">
        <v>42</v>
      </c>
      <c r="Q16" s="229">
        <v>75</v>
      </c>
      <c r="R16" s="175">
        <f t="shared" ref="R16:R18" si="17">+Q16</f>
        <v>75</v>
      </c>
      <c r="S16" s="205">
        <f>P16*R16</f>
        <v>3150</v>
      </c>
      <c r="T16" s="238"/>
      <c r="U16" s="239"/>
      <c r="V16" s="240"/>
      <c r="W16" s="241"/>
    </row>
    <row r="17" spans="1:24" ht="12.95" customHeight="1" thickBot="1" x14ac:dyDescent="0.3">
      <c r="A17" s="492"/>
      <c r="B17" s="225" t="s">
        <v>140</v>
      </c>
      <c r="C17" s="226" t="s">
        <v>64</v>
      </c>
      <c r="D17" s="227">
        <v>40</v>
      </c>
      <c r="E17" s="228">
        <v>50</v>
      </c>
      <c r="F17" s="117">
        <f t="shared" si="13"/>
        <v>50</v>
      </c>
      <c r="G17" s="36">
        <f t="shared" si="14"/>
        <v>2000</v>
      </c>
      <c r="H17" s="227">
        <v>24</v>
      </c>
      <c r="I17" s="229">
        <v>50</v>
      </c>
      <c r="J17" s="230">
        <f t="shared" si="15"/>
        <v>50</v>
      </c>
      <c r="K17" s="231">
        <f>H17*J17</f>
        <v>1200</v>
      </c>
      <c r="L17" s="232">
        <v>12</v>
      </c>
      <c r="M17" s="20">
        <v>50</v>
      </c>
      <c r="N17" s="255">
        <f t="shared" si="16"/>
        <v>50</v>
      </c>
      <c r="O17" s="234">
        <f>L17*N17</f>
        <v>600</v>
      </c>
      <c r="P17" s="254">
        <v>42</v>
      </c>
      <c r="Q17" s="256">
        <v>75</v>
      </c>
      <c r="R17" s="257">
        <f t="shared" si="17"/>
        <v>75</v>
      </c>
      <c r="S17" s="205">
        <f>P17*R17</f>
        <v>3150</v>
      </c>
      <c r="T17" s="238"/>
      <c r="U17" s="223"/>
      <c r="V17" s="224"/>
      <c r="W17" s="241"/>
    </row>
    <row r="18" spans="1:24" ht="12.95" customHeight="1" thickBot="1" x14ac:dyDescent="0.3">
      <c r="A18" s="492"/>
      <c r="B18" s="225" t="s">
        <v>65</v>
      </c>
      <c r="C18" s="226" t="s">
        <v>66</v>
      </c>
      <c r="D18" s="227">
        <v>60</v>
      </c>
      <c r="E18" s="228">
        <v>100</v>
      </c>
      <c r="F18" s="117">
        <f t="shared" si="13"/>
        <v>100</v>
      </c>
      <c r="G18" s="36">
        <f t="shared" si="14"/>
        <v>6000</v>
      </c>
      <c r="H18" s="227">
        <v>162</v>
      </c>
      <c r="I18" s="196">
        <v>100</v>
      </c>
      <c r="J18" s="198">
        <f t="shared" si="15"/>
        <v>100</v>
      </c>
      <c r="K18" s="199">
        <f>H18*J18</f>
        <v>16200</v>
      </c>
      <c r="L18" s="232">
        <v>40</v>
      </c>
      <c r="M18" s="23">
        <v>100</v>
      </c>
      <c r="N18" s="230">
        <f t="shared" si="16"/>
        <v>100</v>
      </c>
      <c r="O18" s="258">
        <f>L18*N18</f>
        <v>4000</v>
      </c>
      <c r="P18" s="235"/>
      <c r="Q18" s="236"/>
      <c r="R18" s="237">
        <f t="shared" si="17"/>
        <v>0</v>
      </c>
      <c r="S18" s="222"/>
      <c r="T18" s="238"/>
      <c r="U18" s="239"/>
      <c r="V18" s="240"/>
      <c r="W18" s="241"/>
    </row>
    <row r="19" spans="1:24" ht="12.95" customHeight="1" thickBot="1" x14ac:dyDescent="0.3">
      <c r="A19" s="492"/>
      <c r="B19" s="225" t="s">
        <v>67</v>
      </c>
      <c r="C19" s="226" t="s">
        <v>68</v>
      </c>
      <c r="D19" s="227">
        <v>56</v>
      </c>
      <c r="E19" s="228">
        <v>70</v>
      </c>
      <c r="F19" s="117">
        <f t="shared" si="13"/>
        <v>70</v>
      </c>
      <c r="G19" s="36">
        <f t="shared" si="14"/>
        <v>3920</v>
      </c>
      <c r="H19" s="247"/>
      <c r="I19" s="236"/>
      <c r="J19" s="249"/>
      <c r="K19" s="259"/>
      <c r="L19" s="242"/>
      <c r="M19" s="24"/>
      <c r="N19" s="260"/>
      <c r="O19" s="244"/>
      <c r="P19" s="235"/>
      <c r="Q19" s="252"/>
      <c r="R19" s="221"/>
      <c r="S19" s="222"/>
      <c r="T19" s="238"/>
      <c r="U19" s="223"/>
      <c r="V19" s="224"/>
      <c r="W19" s="241"/>
    </row>
    <row r="20" spans="1:24" ht="12.95" customHeight="1" thickBot="1" x14ac:dyDescent="0.3">
      <c r="A20" s="492"/>
      <c r="B20" s="225" t="s">
        <v>69</v>
      </c>
      <c r="C20" s="226" t="s">
        <v>70</v>
      </c>
      <c r="D20" s="261">
        <v>215</v>
      </c>
      <c r="E20" s="262">
        <v>50</v>
      </c>
      <c r="F20" s="117">
        <f t="shared" si="13"/>
        <v>50</v>
      </c>
      <c r="G20" s="36">
        <f t="shared" si="14"/>
        <v>10750</v>
      </c>
      <c r="H20" s="227">
        <v>320</v>
      </c>
      <c r="I20" s="263">
        <v>50</v>
      </c>
      <c r="J20" s="264">
        <f t="shared" ref="J20:J23" si="18">+I20</f>
        <v>50</v>
      </c>
      <c r="K20" s="265">
        <f>H20*J20</f>
        <v>16000</v>
      </c>
      <c r="L20" s="232">
        <v>120</v>
      </c>
      <c r="M20" s="23">
        <v>50</v>
      </c>
      <c r="N20" s="266">
        <f t="shared" ref="N20:N23" si="19">+M20</f>
        <v>50</v>
      </c>
      <c r="O20" s="234">
        <f>L20*N20</f>
        <v>6000</v>
      </c>
      <c r="P20" s="235"/>
      <c r="Q20" s="214"/>
      <c r="R20" s="267">
        <f t="shared" ref="R20:R23" si="20">+Q20</f>
        <v>0</v>
      </c>
      <c r="S20" s="222"/>
      <c r="T20" s="238"/>
      <c r="U20" s="245"/>
      <c r="V20" s="246"/>
      <c r="W20" s="241"/>
    </row>
    <row r="21" spans="1:24" ht="12.95" customHeight="1" thickBot="1" x14ac:dyDescent="0.3">
      <c r="A21" s="492"/>
      <c r="B21" s="268" t="s">
        <v>71</v>
      </c>
      <c r="C21" s="269" t="s">
        <v>72</v>
      </c>
      <c r="D21" s="227">
        <v>60</v>
      </c>
      <c r="E21" s="228">
        <v>40</v>
      </c>
      <c r="F21" s="117">
        <f t="shared" si="13"/>
        <v>40</v>
      </c>
      <c r="G21" s="36">
        <f t="shared" si="14"/>
        <v>2400</v>
      </c>
      <c r="H21" s="227">
        <v>80</v>
      </c>
      <c r="I21" s="196">
        <v>40</v>
      </c>
      <c r="J21" s="198">
        <f t="shared" si="18"/>
        <v>40</v>
      </c>
      <c r="K21" s="199">
        <f>H21*J21</f>
        <v>3200</v>
      </c>
      <c r="L21" s="232">
        <v>30</v>
      </c>
      <c r="M21" s="23">
        <v>40</v>
      </c>
      <c r="N21" s="266">
        <f t="shared" si="19"/>
        <v>40</v>
      </c>
      <c r="O21" s="258">
        <f>L21*N21</f>
        <v>1200</v>
      </c>
      <c r="P21" s="254">
        <v>60</v>
      </c>
      <c r="Q21" s="229">
        <v>50</v>
      </c>
      <c r="R21" s="175">
        <f t="shared" si="20"/>
        <v>50</v>
      </c>
      <c r="S21" s="205">
        <f>P21*R21</f>
        <v>3000</v>
      </c>
      <c r="T21" s="238"/>
      <c r="U21" s="239"/>
      <c r="V21" s="240"/>
      <c r="W21" s="241"/>
    </row>
    <row r="22" spans="1:24" ht="12.95" customHeight="1" thickBot="1" x14ac:dyDescent="0.3">
      <c r="A22" s="492"/>
      <c r="B22" s="268" t="s">
        <v>141</v>
      </c>
      <c r="C22" s="269" t="s">
        <v>73</v>
      </c>
      <c r="D22" s="227">
        <v>144</v>
      </c>
      <c r="E22" s="228">
        <v>50</v>
      </c>
      <c r="F22" s="117">
        <f t="shared" si="13"/>
        <v>50</v>
      </c>
      <c r="G22" s="36">
        <f t="shared" si="14"/>
        <v>7200</v>
      </c>
      <c r="H22" s="227">
        <v>216</v>
      </c>
      <c r="I22" s="229">
        <v>50</v>
      </c>
      <c r="J22" s="230">
        <f t="shared" si="18"/>
        <v>50</v>
      </c>
      <c r="K22" s="231">
        <f>H22*J22</f>
        <v>10800</v>
      </c>
      <c r="L22" s="232">
        <v>60</v>
      </c>
      <c r="M22" s="23">
        <v>50</v>
      </c>
      <c r="N22" s="266">
        <f t="shared" si="19"/>
        <v>50</v>
      </c>
      <c r="O22" s="270">
        <f>L22*N22</f>
        <v>3000</v>
      </c>
      <c r="P22" s="254">
        <v>200</v>
      </c>
      <c r="Q22" s="196">
        <v>75</v>
      </c>
      <c r="R22" s="271">
        <f t="shared" si="20"/>
        <v>75</v>
      </c>
      <c r="S22" s="205">
        <f>P22*R22</f>
        <v>15000</v>
      </c>
      <c r="T22" s="238"/>
      <c r="U22" s="239"/>
      <c r="V22" s="272"/>
      <c r="W22" s="273"/>
    </row>
    <row r="23" spans="1:24" ht="12.95" customHeight="1" x14ac:dyDescent="0.25">
      <c r="A23" s="492"/>
      <c r="B23" s="268" t="s">
        <v>74</v>
      </c>
      <c r="C23" s="226" t="s">
        <v>75</v>
      </c>
      <c r="D23" s="227">
        <v>30</v>
      </c>
      <c r="E23" s="228">
        <v>20</v>
      </c>
      <c r="F23" s="117">
        <f t="shared" si="13"/>
        <v>20</v>
      </c>
      <c r="G23" s="36">
        <f t="shared" si="14"/>
        <v>600</v>
      </c>
      <c r="H23" s="227">
        <v>40</v>
      </c>
      <c r="I23" s="256">
        <v>20</v>
      </c>
      <c r="J23" s="233">
        <f t="shared" si="18"/>
        <v>20</v>
      </c>
      <c r="K23" s="231">
        <f>H23*J23</f>
        <v>800</v>
      </c>
      <c r="L23" s="232">
        <v>30</v>
      </c>
      <c r="M23" s="23">
        <v>20</v>
      </c>
      <c r="N23" s="266">
        <f t="shared" si="19"/>
        <v>20</v>
      </c>
      <c r="O23" s="270">
        <f>L23*N23</f>
        <v>600</v>
      </c>
      <c r="P23" s="254">
        <v>30</v>
      </c>
      <c r="Q23" s="256">
        <v>30</v>
      </c>
      <c r="R23" s="257">
        <f t="shared" si="20"/>
        <v>30</v>
      </c>
      <c r="S23" s="205">
        <f>P23*R23</f>
        <v>900</v>
      </c>
      <c r="T23" s="238"/>
      <c r="U23" s="223"/>
      <c r="V23" s="274"/>
      <c r="W23" s="273"/>
    </row>
    <row r="24" spans="1:24" ht="13.5" thickBot="1" x14ac:dyDescent="0.3">
      <c r="A24" s="492"/>
      <c r="B24" s="225" t="s">
        <v>142</v>
      </c>
      <c r="C24" s="275" t="s">
        <v>143</v>
      </c>
      <c r="D24" s="247"/>
      <c r="E24" s="248"/>
      <c r="F24" s="212"/>
      <c r="G24" s="213"/>
      <c r="H24" s="247"/>
      <c r="I24" s="236"/>
      <c r="J24" s="249"/>
      <c r="K24" s="259"/>
      <c r="L24" s="242"/>
      <c r="M24" s="21"/>
      <c r="N24" s="276"/>
      <c r="O24" s="277"/>
      <c r="P24" s="235"/>
      <c r="Q24" s="252"/>
      <c r="R24" s="221"/>
      <c r="S24" s="222"/>
      <c r="T24" s="174">
        <v>105</v>
      </c>
      <c r="U24" s="152">
        <v>100</v>
      </c>
      <c r="V24" s="175">
        <f>+U24</f>
        <v>100</v>
      </c>
      <c r="W24" s="231">
        <f>T24*V24</f>
        <v>10500</v>
      </c>
    </row>
    <row r="25" spans="1:24" x14ac:dyDescent="0.25">
      <c r="A25" s="492"/>
      <c r="B25" s="278" t="s">
        <v>76</v>
      </c>
      <c r="C25" s="279" t="s">
        <v>77</v>
      </c>
      <c r="D25" s="227">
        <v>1400</v>
      </c>
      <c r="E25" s="228">
        <v>25</v>
      </c>
      <c r="F25" s="117">
        <f t="shared" ref="F25" si="21">+E25</f>
        <v>25</v>
      </c>
      <c r="G25" s="36">
        <f>+D25*F25</f>
        <v>35000</v>
      </c>
      <c r="H25" s="227">
        <v>2000</v>
      </c>
      <c r="I25" s="229">
        <v>25</v>
      </c>
      <c r="J25" s="230">
        <f t="shared" ref="J25:J27" si="22">+I25</f>
        <v>25</v>
      </c>
      <c r="K25" s="231">
        <f>H25*J25</f>
        <v>50000</v>
      </c>
      <c r="L25" s="280">
        <v>720</v>
      </c>
      <c r="M25" s="23">
        <v>25</v>
      </c>
      <c r="N25" s="281">
        <f t="shared" ref="N25:N27" si="23">+M25</f>
        <v>25</v>
      </c>
      <c r="O25" s="231">
        <f>L25*N25</f>
        <v>18000</v>
      </c>
      <c r="P25" s="282"/>
      <c r="Q25" s="214"/>
      <c r="R25" s="221">
        <f t="shared" ref="R25:R27" si="24">+Q25</f>
        <v>0</v>
      </c>
      <c r="S25" s="222"/>
      <c r="T25" s="283"/>
      <c r="U25" s="245"/>
      <c r="V25" s="272"/>
      <c r="W25" s="259"/>
    </row>
    <row r="26" spans="1:24" ht="13.5" thickBot="1" x14ac:dyDescent="0.3">
      <c r="A26" s="492"/>
      <c r="B26" s="284" t="s">
        <v>78</v>
      </c>
      <c r="C26" s="279" t="s">
        <v>79</v>
      </c>
      <c r="D26" s="227"/>
      <c r="E26" s="196"/>
      <c r="F26" s="285"/>
      <c r="G26" s="286"/>
      <c r="H26" s="197"/>
      <c r="I26" s="196"/>
      <c r="J26" s="287">
        <f t="shared" si="22"/>
        <v>0</v>
      </c>
      <c r="K26" s="231"/>
      <c r="L26" s="288"/>
      <c r="M26" s="23"/>
      <c r="N26" s="289">
        <f t="shared" si="23"/>
        <v>0</v>
      </c>
      <c r="O26" s="231"/>
      <c r="P26" s="282"/>
      <c r="Q26" s="221"/>
      <c r="R26" s="267">
        <f t="shared" si="24"/>
        <v>0</v>
      </c>
      <c r="S26" s="216"/>
      <c r="T26" s="283"/>
      <c r="U26" s="245"/>
      <c r="V26" s="290"/>
      <c r="W26" s="259"/>
    </row>
    <row r="27" spans="1:24" ht="15" thickBot="1" x14ac:dyDescent="0.3">
      <c r="A27" s="492"/>
      <c r="B27" s="291" t="s">
        <v>144</v>
      </c>
      <c r="C27" s="292" t="s">
        <v>80</v>
      </c>
      <c r="D27" s="293">
        <v>1200</v>
      </c>
      <c r="E27" s="294">
        <v>15</v>
      </c>
      <c r="F27" s="117">
        <f t="shared" ref="F27" si="25">+E27</f>
        <v>15</v>
      </c>
      <c r="G27" s="295">
        <f>D27*F27</f>
        <v>18000</v>
      </c>
      <c r="H27" s="293">
        <v>1600</v>
      </c>
      <c r="I27" s="296">
        <v>15</v>
      </c>
      <c r="J27" s="287">
        <f t="shared" si="22"/>
        <v>15</v>
      </c>
      <c r="K27" s="297">
        <f>H27*J27</f>
        <v>24000</v>
      </c>
      <c r="L27" s="298">
        <v>500</v>
      </c>
      <c r="M27" s="25">
        <v>15</v>
      </c>
      <c r="N27" s="299">
        <f t="shared" si="23"/>
        <v>15</v>
      </c>
      <c r="O27" s="300">
        <f>L27*N27</f>
        <v>7500</v>
      </c>
      <c r="P27" s="301">
        <v>1000</v>
      </c>
      <c r="Q27" s="302">
        <v>15</v>
      </c>
      <c r="R27" s="303">
        <f t="shared" si="24"/>
        <v>15</v>
      </c>
      <c r="S27" s="304">
        <f>P27*R27</f>
        <v>15000</v>
      </c>
      <c r="T27" s="305"/>
      <c r="U27" s="306"/>
      <c r="V27" s="290"/>
      <c r="W27" s="307"/>
    </row>
    <row r="28" spans="1:24" ht="12.95" customHeight="1" thickBot="1" x14ac:dyDescent="0.3">
      <c r="A28" s="493"/>
      <c r="B28" s="494" t="s">
        <v>145</v>
      </c>
      <c r="C28" s="496"/>
      <c r="D28" s="177"/>
      <c r="E28" s="181"/>
      <c r="F28" s="308"/>
      <c r="G28" s="29">
        <f>+SUM(G11:G27)</f>
        <v>130710</v>
      </c>
      <c r="H28" s="177"/>
      <c r="I28" s="178"/>
      <c r="J28" s="309"/>
      <c r="K28" s="26">
        <f>+SUM(K11:K27)</f>
        <v>186760</v>
      </c>
      <c r="L28" s="27"/>
      <c r="M28" s="28"/>
      <c r="N28" s="310"/>
      <c r="O28" s="311">
        <f>SUM(O11:O27)</f>
        <v>57100</v>
      </c>
      <c r="P28" s="312"/>
      <c r="Q28" s="313"/>
      <c r="R28" s="189"/>
      <c r="S28" s="29">
        <f>+SUM(S11:S27)</f>
        <v>43200</v>
      </c>
      <c r="T28" s="177"/>
      <c r="U28" s="314"/>
      <c r="V28" s="315"/>
      <c r="W28" s="29">
        <f>+SUM(W11:W25)</f>
        <v>10500</v>
      </c>
      <c r="X28" s="316"/>
    </row>
    <row r="29" spans="1:24" ht="13.5" thickBot="1" x14ac:dyDescent="0.3">
      <c r="A29" s="497" t="s">
        <v>81</v>
      </c>
      <c r="B29" s="317" t="s">
        <v>82</v>
      </c>
      <c r="C29" s="318" t="s">
        <v>83</v>
      </c>
      <c r="D29" s="319"/>
      <c r="E29" s="320"/>
      <c r="F29" s="321"/>
      <c r="G29" s="322"/>
      <c r="H29" s="206"/>
      <c r="I29" s="320"/>
      <c r="J29" s="323"/>
      <c r="K29" s="324"/>
      <c r="L29" s="325"/>
      <c r="M29" s="30"/>
      <c r="N29" s="326"/>
      <c r="O29" s="327"/>
      <c r="P29" s="328"/>
      <c r="Q29" s="329"/>
      <c r="R29" s="330"/>
      <c r="S29" s="331"/>
      <c r="T29" s="332">
        <v>60</v>
      </c>
      <c r="U29" s="333">
        <v>100</v>
      </c>
      <c r="V29" s="204">
        <f>+U29</f>
        <v>100</v>
      </c>
      <c r="W29" s="121">
        <f>T29*V29</f>
        <v>6000</v>
      </c>
    </row>
    <row r="30" spans="1:24" ht="13.5" thickBot="1" x14ac:dyDescent="0.3">
      <c r="A30" s="498"/>
      <c r="B30" s="334" t="s">
        <v>84</v>
      </c>
      <c r="C30" s="318" t="s">
        <v>85</v>
      </c>
      <c r="D30" s="174">
        <v>144</v>
      </c>
      <c r="E30" s="335">
        <v>70</v>
      </c>
      <c r="F30" s="117">
        <f t="shared" ref="F30:F35" si="26">+E30</f>
        <v>70</v>
      </c>
      <c r="G30" s="147">
        <f t="shared" ref="G30:G35" si="27">+D30*F30</f>
        <v>10080</v>
      </c>
      <c r="H30" s="227">
        <v>216</v>
      </c>
      <c r="I30" s="263">
        <v>70</v>
      </c>
      <c r="J30" s="264">
        <f t="shared" ref="J30:J35" si="28">+I30</f>
        <v>70</v>
      </c>
      <c r="K30" s="231">
        <f t="shared" ref="K30:K35" si="29">H30*J30</f>
        <v>15120</v>
      </c>
      <c r="L30" s="336">
        <v>60</v>
      </c>
      <c r="M30" s="31">
        <v>70</v>
      </c>
      <c r="N30" s="337">
        <f t="shared" ref="N30:N35" si="30">+M30</f>
        <v>70</v>
      </c>
      <c r="O30" s="231">
        <f t="shared" ref="O30:O35" si="31">L30*N30</f>
        <v>4200</v>
      </c>
      <c r="P30" s="254">
        <v>200</v>
      </c>
      <c r="Q30" s="229">
        <v>80</v>
      </c>
      <c r="R30" s="175">
        <f t="shared" ref="R30:R35" si="32">+Q30</f>
        <v>80</v>
      </c>
      <c r="S30" s="338">
        <f t="shared" ref="S30:S35" si="33">P30*R30</f>
        <v>16000</v>
      </c>
      <c r="T30" s="238"/>
      <c r="U30" s="239"/>
      <c r="V30" s="240"/>
      <c r="W30" s="241"/>
    </row>
    <row r="31" spans="1:24" ht="13.5" thickBot="1" x14ac:dyDescent="0.3">
      <c r="A31" s="498"/>
      <c r="B31" s="334" t="s">
        <v>86</v>
      </c>
      <c r="C31" s="318" t="s">
        <v>87</v>
      </c>
      <c r="D31" s="174">
        <v>432</v>
      </c>
      <c r="E31" s="335">
        <v>10</v>
      </c>
      <c r="F31" s="117">
        <f t="shared" si="26"/>
        <v>10</v>
      </c>
      <c r="G31" s="147">
        <f t="shared" si="27"/>
        <v>4320</v>
      </c>
      <c r="H31" s="227">
        <v>648</v>
      </c>
      <c r="I31" s="263">
        <v>10</v>
      </c>
      <c r="J31" s="264">
        <f t="shared" si="28"/>
        <v>10</v>
      </c>
      <c r="K31" s="231">
        <f t="shared" si="29"/>
        <v>6480</v>
      </c>
      <c r="L31" s="336">
        <v>180</v>
      </c>
      <c r="M31" s="31">
        <v>10</v>
      </c>
      <c r="N31" s="337">
        <f t="shared" si="30"/>
        <v>10</v>
      </c>
      <c r="O31" s="231">
        <f t="shared" si="31"/>
        <v>1800</v>
      </c>
      <c r="P31" s="254">
        <v>600</v>
      </c>
      <c r="Q31" s="253">
        <v>12</v>
      </c>
      <c r="R31" s="175">
        <f t="shared" si="32"/>
        <v>12</v>
      </c>
      <c r="S31" s="338">
        <f t="shared" si="33"/>
        <v>7200</v>
      </c>
      <c r="T31" s="238"/>
      <c r="U31" s="239"/>
      <c r="V31" s="240"/>
      <c r="W31" s="241"/>
    </row>
    <row r="32" spans="1:24" ht="13.5" thickBot="1" x14ac:dyDescent="0.3">
      <c r="A32" s="498"/>
      <c r="B32" s="339" t="s">
        <v>88</v>
      </c>
      <c r="C32" s="340" t="s">
        <v>89</v>
      </c>
      <c r="D32" s="341">
        <v>2186</v>
      </c>
      <c r="E32" s="342">
        <v>2</v>
      </c>
      <c r="F32" s="117">
        <f t="shared" si="26"/>
        <v>2</v>
      </c>
      <c r="G32" s="147">
        <f t="shared" si="27"/>
        <v>4372</v>
      </c>
      <c r="H32" s="227">
        <v>3600</v>
      </c>
      <c r="I32" s="263">
        <v>2</v>
      </c>
      <c r="J32" s="264">
        <f t="shared" si="28"/>
        <v>2</v>
      </c>
      <c r="K32" s="231">
        <f t="shared" si="29"/>
        <v>7200</v>
      </c>
      <c r="L32" s="336">
        <v>1200</v>
      </c>
      <c r="M32" s="31">
        <v>2</v>
      </c>
      <c r="N32" s="337">
        <f t="shared" si="30"/>
        <v>2</v>
      </c>
      <c r="O32" s="231">
        <f t="shared" si="31"/>
        <v>2400</v>
      </c>
      <c r="P32" s="227">
        <v>3386</v>
      </c>
      <c r="Q32" s="196">
        <v>2</v>
      </c>
      <c r="R32" s="271">
        <f t="shared" si="32"/>
        <v>2</v>
      </c>
      <c r="S32" s="338">
        <f t="shared" si="33"/>
        <v>6772</v>
      </c>
      <c r="T32" s="238"/>
      <c r="U32" s="239"/>
      <c r="V32" s="240"/>
      <c r="W32" s="241"/>
    </row>
    <row r="33" spans="1:23" ht="13.5" thickBot="1" x14ac:dyDescent="0.3">
      <c r="A33" s="498"/>
      <c r="B33" s="343" t="s">
        <v>90</v>
      </c>
      <c r="C33" s="344" t="s">
        <v>91</v>
      </c>
      <c r="D33" s="174">
        <v>2186.8319999999999</v>
      </c>
      <c r="E33" s="335">
        <v>2</v>
      </c>
      <c r="F33" s="117">
        <f t="shared" si="26"/>
        <v>2</v>
      </c>
      <c r="G33" s="147">
        <f t="shared" si="27"/>
        <v>4373.6639999999998</v>
      </c>
      <c r="H33" s="227">
        <v>3600</v>
      </c>
      <c r="I33" s="263">
        <v>2</v>
      </c>
      <c r="J33" s="264">
        <f t="shared" si="28"/>
        <v>2</v>
      </c>
      <c r="K33" s="231">
        <f t="shared" si="29"/>
        <v>7200</v>
      </c>
      <c r="L33" s="336">
        <v>1200</v>
      </c>
      <c r="M33" s="31">
        <v>2</v>
      </c>
      <c r="N33" s="337">
        <f t="shared" si="30"/>
        <v>2</v>
      </c>
      <c r="O33" s="231">
        <f t="shared" si="31"/>
        <v>2400</v>
      </c>
      <c r="P33" s="227">
        <v>3386</v>
      </c>
      <c r="Q33" s="229">
        <v>2</v>
      </c>
      <c r="R33" s="175">
        <f t="shared" si="32"/>
        <v>2</v>
      </c>
      <c r="S33" s="338">
        <f t="shared" si="33"/>
        <v>6772</v>
      </c>
      <c r="T33" s="238"/>
      <c r="U33" s="345"/>
      <c r="V33" s="346"/>
      <c r="W33" s="241"/>
    </row>
    <row r="34" spans="1:23" ht="15" thickBot="1" x14ac:dyDescent="0.3">
      <c r="A34" s="498"/>
      <c r="B34" s="193" t="s">
        <v>92</v>
      </c>
      <c r="C34" s="318" t="s">
        <v>93</v>
      </c>
      <c r="D34" s="174">
        <v>550</v>
      </c>
      <c r="E34" s="335">
        <v>25</v>
      </c>
      <c r="F34" s="117">
        <f t="shared" si="26"/>
        <v>25</v>
      </c>
      <c r="G34" s="133">
        <f t="shared" si="27"/>
        <v>13750</v>
      </c>
      <c r="H34" s="227">
        <v>1000</v>
      </c>
      <c r="I34" s="263">
        <v>25</v>
      </c>
      <c r="J34" s="264">
        <f t="shared" si="28"/>
        <v>25</v>
      </c>
      <c r="K34" s="231">
        <f t="shared" si="29"/>
        <v>25000</v>
      </c>
      <c r="L34" s="336">
        <v>500</v>
      </c>
      <c r="M34" s="31">
        <v>25</v>
      </c>
      <c r="N34" s="337">
        <f t="shared" si="30"/>
        <v>25</v>
      </c>
      <c r="O34" s="231">
        <f t="shared" si="31"/>
        <v>12500</v>
      </c>
      <c r="P34" s="227">
        <v>1000</v>
      </c>
      <c r="Q34" s="229">
        <v>25</v>
      </c>
      <c r="R34" s="175">
        <f t="shared" si="32"/>
        <v>25</v>
      </c>
      <c r="S34" s="338">
        <f t="shared" si="33"/>
        <v>25000</v>
      </c>
      <c r="T34" s="238"/>
      <c r="U34" s="345"/>
      <c r="V34" s="346"/>
      <c r="W34" s="241"/>
    </row>
    <row r="35" spans="1:23" ht="15" thickBot="1" x14ac:dyDescent="0.3">
      <c r="A35" s="499"/>
      <c r="B35" s="347" t="s">
        <v>146</v>
      </c>
      <c r="C35" s="348" t="s">
        <v>94</v>
      </c>
      <c r="D35" s="349">
        <v>116</v>
      </c>
      <c r="E35" s="350">
        <v>35</v>
      </c>
      <c r="F35" s="117">
        <f t="shared" si="26"/>
        <v>35</v>
      </c>
      <c r="G35" s="351">
        <f t="shared" si="27"/>
        <v>4060</v>
      </c>
      <c r="H35" s="352">
        <v>162</v>
      </c>
      <c r="I35" s="296">
        <v>35</v>
      </c>
      <c r="J35" s="353">
        <f t="shared" si="28"/>
        <v>35</v>
      </c>
      <c r="K35" s="297">
        <f t="shared" si="29"/>
        <v>5670</v>
      </c>
      <c r="L35" s="298">
        <v>60</v>
      </c>
      <c r="M35" s="32">
        <v>35</v>
      </c>
      <c r="N35" s="198">
        <f t="shared" si="30"/>
        <v>35</v>
      </c>
      <c r="O35" s="354">
        <f t="shared" si="31"/>
        <v>2100</v>
      </c>
      <c r="P35" s="293">
        <v>200</v>
      </c>
      <c r="Q35" s="355">
        <v>35</v>
      </c>
      <c r="R35" s="303">
        <f t="shared" si="32"/>
        <v>35</v>
      </c>
      <c r="S35" s="356">
        <f t="shared" si="33"/>
        <v>7000</v>
      </c>
      <c r="T35" s="305"/>
      <c r="U35" s="357"/>
      <c r="V35" s="306"/>
      <c r="W35" s="358"/>
    </row>
    <row r="36" spans="1:23" ht="13.9" customHeight="1" x14ac:dyDescent="0.25">
      <c r="A36" s="491" t="s">
        <v>95</v>
      </c>
      <c r="B36" s="129" t="s">
        <v>96</v>
      </c>
      <c r="C36" s="275" t="s">
        <v>97</v>
      </c>
      <c r="D36" s="238"/>
      <c r="E36" s="359"/>
      <c r="F36" s="360"/>
      <c r="G36" s="322"/>
      <c r="H36" s="361"/>
      <c r="I36" s="248"/>
      <c r="J36" s="218"/>
      <c r="K36" s="362"/>
      <c r="L36" s="363"/>
      <c r="M36" s="364"/>
      <c r="N36" s="365"/>
      <c r="O36" s="219"/>
      <c r="P36" s="366"/>
      <c r="Q36" s="367"/>
      <c r="R36" s="211"/>
      <c r="S36" s="327"/>
      <c r="T36" s="368"/>
      <c r="U36" s="369"/>
      <c r="V36" s="370"/>
      <c r="W36" s="241"/>
    </row>
    <row r="37" spans="1:23" ht="13.9" customHeight="1" thickBot="1" x14ac:dyDescent="0.3">
      <c r="A37" s="492"/>
      <c r="B37" s="371" t="s">
        <v>98</v>
      </c>
      <c r="C37" s="372" t="s">
        <v>99</v>
      </c>
      <c r="D37" s="283"/>
      <c r="E37" s="373"/>
      <c r="F37" s="374"/>
      <c r="G37" s="375"/>
      <c r="H37" s="282"/>
      <c r="I37" s="376"/>
      <c r="J37" s="218"/>
      <c r="K37" s="219"/>
      <c r="L37" s="377"/>
      <c r="M37" s="378"/>
      <c r="N37" s="379"/>
      <c r="O37" s="219"/>
      <c r="P37" s="380"/>
      <c r="Q37" s="381"/>
      <c r="R37" s="382"/>
      <c r="S37" s="383"/>
      <c r="T37" s="384"/>
      <c r="U37" s="385"/>
      <c r="V37" s="386"/>
      <c r="W37" s="387"/>
    </row>
    <row r="38" spans="1:23" ht="13.9" customHeight="1" thickBot="1" x14ac:dyDescent="0.3">
      <c r="A38" s="492"/>
      <c r="B38" s="129" t="s">
        <v>100</v>
      </c>
      <c r="C38" s="130" t="s">
        <v>101</v>
      </c>
      <c r="D38" s="388">
        <v>24</v>
      </c>
      <c r="E38" s="148">
        <v>50</v>
      </c>
      <c r="F38" s="117">
        <f t="shared" ref="F38:F39" si="34">+E38</f>
        <v>50</v>
      </c>
      <c r="G38" s="147">
        <f>+D38*F38</f>
        <v>1200</v>
      </c>
      <c r="H38" s="389">
        <v>24</v>
      </c>
      <c r="I38" s="390">
        <v>50</v>
      </c>
      <c r="J38" s="264">
        <f t="shared" ref="J38:J39" si="35">+I38</f>
        <v>50</v>
      </c>
      <c r="K38" s="231">
        <f>H38*J38</f>
        <v>1200</v>
      </c>
      <c r="L38" s="391"/>
      <c r="M38" s="378"/>
      <c r="N38" s="392">
        <f t="shared" ref="N38:N39" si="36">+M38</f>
        <v>0</v>
      </c>
      <c r="O38" s="219"/>
      <c r="P38" s="380"/>
      <c r="Q38" s="393"/>
      <c r="R38" s="394">
        <f t="shared" ref="R38:R39" si="37">+Q38</f>
        <v>0</v>
      </c>
      <c r="S38" s="395"/>
      <c r="T38" s="396"/>
      <c r="U38" s="396"/>
      <c r="V38" s="397"/>
      <c r="W38" s="241"/>
    </row>
    <row r="39" spans="1:23" ht="13.9" customHeight="1" thickBot="1" x14ac:dyDescent="0.3">
      <c r="A39" s="493"/>
      <c r="B39" s="193" t="s">
        <v>147</v>
      </c>
      <c r="C39" s="398" t="s">
        <v>102</v>
      </c>
      <c r="D39" s="174">
        <v>52</v>
      </c>
      <c r="E39" s="399">
        <v>10</v>
      </c>
      <c r="F39" s="117">
        <f t="shared" si="34"/>
        <v>10</v>
      </c>
      <c r="G39" s="400">
        <f>+D39*F39</f>
        <v>520</v>
      </c>
      <c r="H39" s="227">
        <v>52</v>
      </c>
      <c r="I39" s="296">
        <v>10</v>
      </c>
      <c r="J39" s="337">
        <f t="shared" si="35"/>
        <v>10</v>
      </c>
      <c r="K39" s="205">
        <f>H39*J39</f>
        <v>520</v>
      </c>
      <c r="L39" s="217"/>
      <c r="M39" s="401"/>
      <c r="N39" s="402">
        <f t="shared" si="36"/>
        <v>0</v>
      </c>
      <c r="O39" s="222"/>
      <c r="P39" s="403"/>
      <c r="Q39" s="282"/>
      <c r="R39" s="221">
        <f t="shared" si="37"/>
        <v>0</v>
      </c>
      <c r="S39" s="404"/>
      <c r="T39" s="405"/>
      <c r="U39" s="406"/>
      <c r="V39" s="407"/>
      <c r="W39" s="408"/>
    </row>
    <row r="40" spans="1:23" ht="13.9" customHeight="1" thickBot="1" x14ac:dyDescent="0.3">
      <c r="A40" s="409"/>
      <c r="B40" s="487" t="s">
        <v>148</v>
      </c>
      <c r="C40" s="488"/>
      <c r="D40" s="410"/>
      <c r="E40" s="411"/>
      <c r="F40" s="412"/>
      <c r="G40" s="413">
        <f>+SUM(G29:G39)</f>
        <v>42675.664000000004</v>
      </c>
      <c r="H40" s="414"/>
      <c r="I40" s="411"/>
      <c r="J40" s="415"/>
      <c r="K40" s="35">
        <f>K30+K32+K33+K34+K35+K36+K37+K38+K39+K29</f>
        <v>61910</v>
      </c>
      <c r="L40" s="33"/>
      <c r="M40" s="34"/>
      <c r="N40" s="416"/>
      <c r="O40" s="35">
        <f>SUM(O29:O39)</f>
        <v>25400</v>
      </c>
      <c r="P40" s="410"/>
      <c r="Q40" s="190"/>
      <c r="R40" s="417"/>
      <c r="S40" s="418">
        <f>+SUM(S29:S39)</f>
        <v>68744</v>
      </c>
      <c r="T40" s="410"/>
      <c r="U40" s="190"/>
      <c r="V40" s="190"/>
      <c r="W40" s="418">
        <f>+SUM(W29:W39)</f>
        <v>6000</v>
      </c>
    </row>
    <row r="41" spans="1:23" s="419" customFormat="1" ht="16.5" thickBot="1" x14ac:dyDescent="0.3">
      <c r="C41" s="420" t="s">
        <v>149</v>
      </c>
      <c r="D41" s="421"/>
      <c r="E41" s="422"/>
      <c r="F41" s="423"/>
      <c r="G41" s="424">
        <f>+G10+G28+G40</f>
        <v>697874.66399999999</v>
      </c>
      <c r="H41" s="421"/>
      <c r="I41" s="422"/>
      <c r="J41" s="425"/>
      <c r="K41" s="426">
        <f>+K10+K28+K40</f>
        <v>969542</v>
      </c>
      <c r="L41" s="427"/>
      <c r="M41" s="427"/>
      <c r="N41" s="428"/>
      <c r="O41" s="424">
        <f>O10+O28+O40</f>
        <v>391687.14285714284</v>
      </c>
      <c r="P41" s="429"/>
      <c r="Q41" s="430"/>
      <c r="R41" s="430"/>
      <c r="S41" s="426">
        <f>+S10+S28+S40</f>
        <v>1189878</v>
      </c>
      <c r="T41" s="431"/>
      <c r="U41" s="425"/>
      <c r="V41" s="425"/>
      <c r="W41" s="426">
        <f>+W10+W28+W40</f>
        <v>38550</v>
      </c>
    </row>
    <row r="42" spans="1:23" s="419" customFormat="1" ht="15.75" x14ac:dyDescent="0.25">
      <c r="A42" s="432" t="s">
        <v>154</v>
      </c>
      <c r="D42" s="433"/>
      <c r="E42" s="434"/>
      <c r="F42" s="434"/>
      <c r="G42" s="435"/>
      <c r="H42" s="434"/>
      <c r="I42" s="434"/>
      <c r="K42" s="435"/>
      <c r="L42" s="436"/>
      <c r="M42" s="436"/>
      <c r="N42" s="437"/>
      <c r="O42" s="435"/>
      <c r="P42" s="438"/>
      <c r="Q42" s="438"/>
      <c r="R42" s="438"/>
      <c r="S42" s="435"/>
      <c r="W42" s="435"/>
    </row>
    <row r="43" spans="1:23" s="419" customFormat="1" ht="15.75" x14ac:dyDescent="0.25">
      <c r="A43" s="432" t="s">
        <v>155</v>
      </c>
      <c r="D43" s="434"/>
      <c r="E43" s="434"/>
      <c r="F43" s="434"/>
      <c r="G43" s="435"/>
      <c r="H43" s="434"/>
      <c r="I43" s="434"/>
      <c r="K43" s="435"/>
      <c r="L43" s="436"/>
      <c r="M43" s="436"/>
      <c r="N43" s="437"/>
      <c r="O43" s="435"/>
      <c r="P43" s="438"/>
      <c r="Q43" s="438"/>
      <c r="R43" s="438"/>
      <c r="S43" s="435"/>
      <c r="W43" s="435"/>
    </row>
    <row r="44" spans="1:23" s="419" customFormat="1" ht="15.75" x14ac:dyDescent="0.25">
      <c r="A44" s="432" t="s">
        <v>174</v>
      </c>
      <c r="D44" s="434"/>
      <c r="E44" s="434"/>
      <c r="F44" s="434"/>
      <c r="G44" s="435"/>
      <c r="H44" s="434"/>
      <c r="I44" s="434"/>
      <c r="K44" s="435"/>
      <c r="L44" s="436"/>
      <c r="M44" s="436"/>
      <c r="N44" s="437"/>
      <c r="O44" s="435"/>
      <c r="P44" s="438"/>
      <c r="Q44" s="438"/>
      <c r="R44" s="438"/>
      <c r="S44" s="435"/>
      <c r="W44" s="435"/>
    </row>
    <row r="45" spans="1:23" s="419" customFormat="1" ht="15.75" x14ac:dyDescent="0.25">
      <c r="A45" s="432" t="s">
        <v>173</v>
      </c>
      <c r="D45" s="434"/>
      <c r="E45" s="434"/>
      <c r="F45" s="434"/>
      <c r="G45" s="435"/>
      <c r="H45" s="434"/>
      <c r="I45" s="434"/>
      <c r="K45" s="435"/>
      <c r="L45" s="436"/>
      <c r="M45" s="436"/>
      <c r="N45" s="437"/>
      <c r="O45" s="435"/>
      <c r="P45" s="438"/>
      <c r="Q45" s="438"/>
      <c r="R45" s="438"/>
      <c r="S45" s="435"/>
      <c r="W45" s="435"/>
    </row>
    <row r="46" spans="1:23" s="419" customFormat="1" ht="15.75" x14ac:dyDescent="0.25">
      <c r="A46" s="432" t="s">
        <v>156</v>
      </c>
      <c r="D46" s="434"/>
      <c r="E46" s="434"/>
      <c r="F46" s="434"/>
      <c r="G46" s="435"/>
      <c r="H46" s="434"/>
      <c r="I46" s="434"/>
      <c r="K46" s="435"/>
      <c r="L46" s="436"/>
      <c r="M46" s="436"/>
      <c r="N46" s="437"/>
      <c r="O46" s="435"/>
      <c r="P46" s="438"/>
      <c r="Q46" s="438"/>
      <c r="R46" s="438"/>
      <c r="S46" s="435"/>
      <c r="W46" s="435"/>
    </row>
    <row r="47" spans="1:23" s="419" customFormat="1" ht="14.45" customHeight="1" thickBot="1" x14ac:dyDescent="0.3">
      <c r="A47" s="439"/>
      <c r="E47" s="440"/>
      <c r="F47" s="440"/>
      <c r="G47" s="441"/>
      <c r="H47" s="434"/>
      <c r="I47" s="434"/>
      <c r="J47" s="434"/>
      <c r="K47" s="434"/>
      <c r="L47" s="436"/>
      <c r="M47" s="436"/>
      <c r="N47" s="437"/>
      <c r="O47" s="442"/>
      <c r="P47" s="438"/>
      <c r="Q47" s="438"/>
      <c r="R47" s="434"/>
      <c r="S47" s="442"/>
      <c r="W47" s="435"/>
    </row>
    <row r="48" spans="1:23" s="419" customFormat="1" ht="22.9" customHeight="1" thickBot="1" x14ac:dyDescent="0.3">
      <c r="B48" s="443" t="s">
        <v>103</v>
      </c>
      <c r="C48" s="444" t="s">
        <v>104</v>
      </c>
      <c r="D48" s="434"/>
      <c r="E48" s="434"/>
      <c r="F48" s="434"/>
      <c r="G48" s="442"/>
      <c r="H48" s="434"/>
      <c r="I48" s="434"/>
      <c r="J48" s="434"/>
      <c r="K48" s="442"/>
      <c r="L48" s="436"/>
      <c r="M48" s="436"/>
      <c r="N48" s="437"/>
      <c r="O48" s="442"/>
      <c r="P48" s="438"/>
      <c r="Q48" s="438"/>
      <c r="R48" s="434"/>
      <c r="S48" s="442"/>
      <c r="W48" s="435"/>
    </row>
    <row r="49" spans="1:22" ht="13.5" thickBot="1" x14ac:dyDescent="0.3"/>
    <row r="50" spans="1:22" ht="28.9" customHeight="1" thickBot="1" x14ac:dyDescent="0.3">
      <c r="A50" s="7"/>
      <c r="B50" s="448" t="s">
        <v>150</v>
      </c>
      <c r="C50" s="449">
        <f>ROUND(G41+K41+O41+S41+W41,2)</f>
        <v>3287531.81</v>
      </c>
      <c r="G50" s="7"/>
      <c r="K50" s="316"/>
      <c r="M50" s="450"/>
    </row>
    <row r="51" spans="1:22" ht="32.450000000000003" customHeight="1" thickBot="1" x14ac:dyDescent="0.3">
      <c r="B51" s="451"/>
      <c r="F51" s="452"/>
      <c r="G51" s="7"/>
      <c r="J51" s="452"/>
      <c r="R51" s="452"/>
      <c r="V51" s="452"/>
    </row>
    <row r="52" spans="1:22" ht="30" customHeight="1" thickBot="1" x14ac:dyDescent="0.3">
      <c r="B52" s="453" t="s">
        <v>175</v>
      </c>
      <c r="C52" s="454">
        <v>440</v>
      </c>
      <c r="D52" s="455"/>
      <c r="E52" s="446"/>
      <c r="F52" s="456"/>
      <c r="G52" s="7"/>
      <c r="J52" s="456"/>
      <c r="R52" s="456"/>
      <c r="V52" s="456"/>
    </row>
    <row r="53" spans="1:22" ht="18" customHeight="1" x14ac:dyDescent="0.25">
      <c r="A53" s="7"/>
      <c r="B53" s="457"/>
      <c r="D53" s="446"/>
      <c r="E53" s="446"/>
      <c r="F53" s="7"/>
      <c r="G53" s="7"/>
    </row>
    <row r="54" spans="1:22" ht="18" customHeight="1" x14ac:dyDescent="0.25">
      <c r="B54" s="456" t="s">
        <v>151</v>
      </c>
      <c r="D54" s="446"/>
      <c r="E54" s="446"/>
      <c r="F54" s="446"/>
      <c r="G54" s="7"/>
    </row>
    <row r="55" spans="1:22" ht="35.450000000000003" customHeight="1" x14ac:dyDescent="0.2">
      <c r="A55" s="458"/>
      <c r="B55" s="489" t="s">
        <v>105</v>
      </c>
      <c r="C55" s="490"/>
      <c r="D55" s="458"/>
      <c r="E55" s="458"/>
      <c r="F55" s="452"/>
    </row>
    <row r="56" spans="1:22" ht="35.450000000000003" customHeight="1" x14ac:dyDescent="0.2">
      <c r="A56" s="458"/>
      <c r="B56" s="490"/>
      <c r="C56" s="490"/>
      <c r="D56" s="458"/>
      <c r="E56" s="458"/>
      <c r="F56" s="452"/>
    </row>
    <row r="57" spans="1:22" x14ac:dyDescent="0.2">
      <c r="A57" s="458"/>
      <c r="B57" s="458"/>
      <c r="C57" s="458"/>
      <c r="D57" s="458"/>
      <c r="E57" s="458"/>
      <c r="F57" s="452"/>
    </row>
    <row r="58" spans="1:22" x14ac:dyDescent="0.2">
      <c r="A58" s="458"/>
      <c r="B58" s="458"/>
      <c r="C58" s="458"/>
      <c r="D58" s="458"/>
      <c r="E58" s="458"/>
      <c r="F58" s="452"/>
      <c r="H58" s="459"/>
      <c r="I58" s="459"/>
    </row>
    <row r="59" spans="1:22" x14ac:dyDescent="0.2">
      <c r="B59" s="456"/>
      <c r="D59" s="458"/>
    </row>
    <row r="60" spans="1:22" x14ac:dyDescent="0.2">
      <c r="D60" s="458"/>
    </row>
    <row r="67" ht="12.75" customHeight="1" x14ac:dyDescent="0.25"/>
    <row r="71" ht="12.75" customHeight="1" x14ac:dyDescent="0.25"/>
  </sheetData>
  <sheetProtection algorithmName="SHA-512" hashValue="oeaG8azpvDZkXtMFeNPEhZb/VW8p0/vlTsItn02uWOn0kzPpQcmbOsNJy9nNQmU4ev5uccChxNtq1t8kJkN2vQ==" saltValue="Uk9tEkYPLQIgHFwubKQm5g==" spinCount="100000" sheet="1" selectLockedCells="1"/>
  <mergeCells count="14">
    <mergeCell ref="B40:C40"/>
    <mergeCell ref="B55:C56"/>
    <mergeCell ref="A3:A10"/>
    <mergeCell ref="B10:C10"/>
    <mergeCell ref="A11:A28"/>
    <mergeCell ref="B28:C28"/>
    <mergeCell ref="A29:A35"/>
    <mergeCell ref="A36:A39"/>
    <mergeCell ref="T1:W1"/>
    <mergeCell ref="A1:B1"/>
    <mergeCell ref="D1:G1"/>
    <mergeCell ref="H1:K1"/>
    <mergeCell ref="L1:O1"/>
    <mergeCell ref="P1:S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CERTO</vt:lpstr>
      <vt:lpstr>Notas</vt:lpstr>
      <vt:lpstr>IMPORTE DE ADJUDICACIÓN</vt:lpstr>
      <vt:lpstr>REFERENCIA ANUAL LOTE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2024-08-08T11:26:08Z</dcterms:created>
  <dcterms:modified xsi:type="dcterms:W3CDTF">2025-07-28T06:08:59Z</dcterms:modified>
  <cp:category/>
  <cp:contentStatus/>
</cp:coreProperties>
</file>