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drawings/drawing2.xml" ContentType="application/vnd.openxmlformats-officedocument.drawing+xml"/>
  <Override PartName="/xl/customProperty3.bin" ContentType="application/vnd.openxmlformats-officedocument.spreadsheetml.customProperty"/>
  <Override PartName="/xl/drawings/drawing3.xml" ContentType="application/vnd.openxmlformats-officedocument.drawing+xml"/>
  <Override PartName="/xl/customProperty4.bin" ContentType="application/vnd.openxmlformats-officedocument.spreadsheetml.customProperty"/>
  <Override PartName="/xl/drawings/drawing4.xml" ContentType="application/vnd.openxmlformats-officedocument.drawing+xml"/>
  <Override PartName="/xl/customProperty5.bin" ContentType="application/vnd.openxmlformats-officedocument.spreadsheetml.customProperty"/>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T:\_Geco\CONTRATOS\CONTRATOS DE SISTEMAS\RECINTO DE CUATRO VIENTOS\"/>
    </mc:Choice>
  </mc:AlternateContent>
  <xr:revisionPtr revIDLastSave="0" documentId="13_ncr:1_{3856533E-AA90-42FD-A636-655053A5A37D}" xr6:coauthVersionLast="47" xr6:coauthVersionMax="47" xr10:uidLastSave="{00000000-0000-0000-0000-000000000000}"/>
  <bookViews>
    <workbookView xWindow="-120" yWindow="-120" windowWidth="24240" windowHeight="13020" tabRatio="710" xr2:uid="{F043CD35-4EC0-4E73-B105-4F3FF39130F0}"/>
  </bookViews>
  <sheets>
    <sheet name="CERTO" sheetId="1" r:id="rId1"/>
    <sheet name="Desmontaje e Infraestructura" sheetId="4" r:id="rId2"/>
    <sheet name="Centro Control" sheetId="5" r:id="rId3"/>
    <sheet name="Acceso Vehicular" sheetId="6" r:id="rId4"/>
    <sheet name="Perimetral" sheetId="7" r:id="rId5"/>
  </sheets>
  <definedNames>
    <definedName name="_Hlk44353870" localSheetId="2">'Centro Control'!#REF!</definedName>
    <definedName name="_xlnm.Print_Area" localSheetId="2">'Centro Control'!$A$1:$F$103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5" i="1" l="1"/>
  <c r="H85" i="1"/>
  <c r="I28" i="4"/>
  <c r="C77" i="1"/>
  <c r="E77" i="1"/>
  <c r="F77" i="1"/>
  <c r="G77" i="1"/>
  <c r="H77" i="1"/>
  <c r="H108" i="4"/>
  <c r="K108" i="4"/>
  <c r="I77" i="1" s="1"/>
  <c r="C78" i="1"/>
  <c r="E78" i="1"/>
  <c r="F78" i="1"/>
  <c r="G78" i="1"/>
  <c r="H78" i="1"/>
  <c r="H110" i="4"/>
  <c r="K110" i="4"/>
  <c r="I78" i="1" s="1"/>
  <c r="C79" i="1"/>
  <c r="E79" i="1"/>
  <c r="F79" i="1"/>
  <c r="G79" i="1"/>
  <c r="H79" i="1"/>
  <c r="H111" i="4"/>
  <c r="K111" i="4"/>
  <c r="I79" i="1" s="1"/>
  <c r="C80" i="1"/>
  <c r="E80" i="1"/>
  <c r="F80" i="1"/>
  <c r="G80" i="1"/>
  <c r="H80" i="1"/>
  <c r="H113" i="4"/>
  <c r="K113" i="4"/>
  <c r="I80" i="1"/>
  <c r="C81" i="1"/>
  <c r="E81" i="1"/>
  <c r="F107" i="4"/>
  <c r="F108" i="4"/>
  <c r="F110" i="4"/>
  <c r="F111" i="4"/>
  <c r="F113" i="4"/>
  <c r="E115" i="4"/>
  <c r="F81" i="1"/>
  <c r="G81" i="1"/>
  <c r="J115" i="4"/>
  <c r="H81" i="1"/>
  <c r="H115" i="4"/>
  <c r="K115" i="4"/>
  <c r="I81" i="1"/>
  <c r="C82" i="1"/>
  <c r="E82" i="1"/>
  <c r="E116" i="4"/>
  <c r="F82" i="1"/>
  <c r="G82" i="1"/>
  <c r="J116" i="4"/>
  <c r="H82" i="1"/>
  <c r="H116" i="4"/>
  <c r="K116" i="4"/>
  <c r="I82" i="1"/>
  <c r="E26" i="4"/>
  <c r="F26" i="4"/>
  <c r="E27" i="4"/>
  <c r="F27" i="4"/>
  <c r="E28" i="4"/>
  <c r="F28" i="4"/>
  <c r="E29" i="4"/>
  <c r="F29" i="4"/>
  <c r="E30" i="4"/>
  <c r="F30" i="4"/>
  <c r="E31" i="4"/>
  <c r="F31" i="4"/>
  <c r="F32" i="4"/>
  <c r="D13" i="4"/>
  <c r="F36" i="4"/>
  <c r="F37" i="4"/>
  <c r="F38" i="4"/>
  <c r="F39" i="4"/>
  <c r="F40" i="4"/>
  <c r="E41" i="4"/>
  <c r="F41" i="4"/>
  <c r="F42" i="4"/>
  <c r="F43" i="4"/>
  <c r="F44" i="4"/>
  <c r="F45" i="4"/>
  <c r="F46" i="4"/>
  <c r="F47" i="4"/>
  <c r="F48" i="4"/>
  <c r="F49" i="4"/>
  <c r="F50" i="4"/>
  <c r="E52" i="4"/>
  <c r="F52" i="4"/>
  <c r="E53" i="4"/>
  <c r="F53" i="4"/>
  <c r="F54" i="4"/>
  <c r="D14" i="4"/>
  <c r="F58" i="4"/>
  <c r="F59" i="4"/>
  <c r="F60" i="4"/>
  <c r="F61" i="4"/>
  <c r="E63" i="4"/>
  <c r="F63" i="4"/>
  <c r="E64" i="4"/>
  <c r="F64" i="4"/>
  <c r="F65" i="4"/>
  <c r="D15" i="4"/>
  <c r="F69" i="4"/>
  <c r="F70" i="4"/>
  <c r="F71" i="4"/>
  <c r="F72" i="4"/>
  <c r="F73" i="4"/>
  <c r="F75" i="4"/>
  <c r="F77" i="4"/>
  <c r="F78" i="4"/>
  <c r="F79" i="4"/>
  <c r="F80" i="4"/>
  <c r="F82" i="4"/>
  <c r="F83" i="4"/>
  <c r="F84" i="4"/>
  <c r="F85" i="4"/>
  <c r="F86" i="4"/>
  <c r="F87" i="4"/>
  <c r="F88" i="4"/>
  <c r="F89" i="4"/>
  <c r="F90" i="4"/>
  <c r="F91" i="4"/>
  <c r="F92" i="4"/>
  <c r="F94" i="4"/>
  <c r="F95" i="4"/>
  <c r="F96" i="4"/>
  <c r="F97" i="4"/>
  <c r="F99" i="4"/>
  <c r="E101" i="4"/>
  <c r="F101" i="4"/>
  <c r="E102" i="4"/>
  <c r="F102" i="4"/>
  <c r="F103" i="4"/>
  <c r="D16" i="4"/>
  <c r="F115" i="4"/>
  <c r="F116" i="4"/>
  <c r="F117" i="4"/>
  <c r="D17" i="4"/>
  <c r="D18" i="4"/>
  <c r="I113" i="4"/>
  <c r="I111" i="4"/>
  <c r="I110" i="4"/>
  <c r="C134" i="1"/>
  <c r="E134" i="1"/>
  <c r="F134" i="1"/>
  <c r="G134" i="1"/>
  <c r="H134" i="1"/>
  <c r="H82" i="5"/>
  <c r="K82" i="5"/>
  <c r="I134" i="1" s="1"/>
  <c r="C135" i="1"/>
  <c r="E135" i="1"/>
  <c r="F135" i="1"/>
  <c r="G135" i="1"/>
  <c r="H135" i="1"/>
  <c r="H83" i="5"/>
  <c r="K83" i="5"/>
  <c r="I135" i="1" s="1"/>
  <c r="C136" i="1"/>
  <c r="E136" i="1"/>
  <c r="F136" i="1"/>
  <c r="G136" i="1"/>
  <c r="H136" i="1"/>
  <c r="H84" i="5"/>
  <c r="K84" i="5"/>
  <c r="I136" i="1" s="1"/>
  <c r="C139" i="1"/>
  <c r="E139" i="1"/>
  <c r="E90" i="5"/>
  <c r="F139" i="1"/>
  <c r="G139" i="1"/>
  <c r="H139" i="1"/>
  <c r="H90" i="5"/>
  <c r="K90" i="5"/>
  <c r="I139" i="1" s="1"/>
  <c r="C140" i="1"/>
  <c r="E140" i="1"/>
  <c r="E91" i="5"/>
  <c r="F140" i="1"/>
  <c r="G140" i="1"/>
  <c r="H140" i="1"/>
  <c r="H91" i="5"/>
  <c r="K91" i="5"/>
  <c r="I140" i="1" s="1"/>
  <c r="C86" i="1"/>
  <c r="E86" i="1"/>
  <c r="F86" i="1"/>
  <c r="G86" i="1"/>
  <c r="H86" i="1"/>
  <c r="H23" i="5"/>
  <c r="K23" i="5"/>
  <c r="I86" i="1" s="1"/>
  <c r="C87" i="1"/>
  <c r="E87" i="1"/>
  <c r="F87" i="1"/>
  <c r="G87" i="1"/>
  <c r="H87" i="1"/>
  <c r="H24" i="5"/>
  <c r="K24" i="5"/>
  <c r="I87" i="1" s="1"/>
  <c r="C88" i="1"/>
  <c r="E88" i="1"/>
  <c r="F88" i="1"/>
  <c r="G88" i="1"/>
  <c r="H88" i="1"/>
  <c r="H25" i="5"/>
  <c r="K25" i="5"/>
  <c r="I88" i="1" s="1"/>
  <c r="C89" i="1"/>
  <c r="E89" i="1"/>
  <c r="F89" i="1"/>
  <c r="G89" i="1"/>
  <c r="H89" i="1"/>
  <c r="H27" i="5"/>
  <c r="K27" i="5"/>
  <c r="I89" i="1" s="1"/>
  <c r="C90" i="1"/>
  <c r="E90" i="1"/>
  <c r="F90" i="1"/>
  <c r="G90" i="1"/>
  <c r="H90" i="1"/>
  <c r="H29" i="5"/>
  <c r="K29" i="5"/>
  <c r="I90" i="1" s="1"/>
  <c r="C91" i="1"/>
  <c r="E91" i="1"/>
  <c r="F91" i="1"/>
  <c r="G91" i="1"/>
  <c r="H91" i="1"/>
  <c r="H30" i="5"/>
  <c r="K30" i="5"/>
  <c r="I91" i="1" s="1"/>
  <c r="C92" i="1"/>
  <c r="E92" i="1"/>
  <c r="F92" i="1"/>
  <c r="G92" i="1"/>
  <c r="H92" i="1"/>
  <c r="H31" i="5"/>
  <c r="K31" i="5"/>
  <c r="I92" i="1" s="1"/>
  <c r="C93" i="1"/>
  <c r="E93" i="1"/>
  <c r="F93" i="1"/>
  <c r="G93" i="1"/>
  <c r="H93" i="1"/>
  <c r="H32" i="5"/>
  <c r="K32" i="5"/>
  <c r="I93" i="1" s="1"/>
  <c r="C94" i="1"/>
  <c r="E94" i="1"/>
  <c r="F94" i="1"/>
  <c r="G94" i="1"/>
  <c r="H94" i="1"/>
  <c r="H34" i="5"/>
  <c r="K34" i="5"/>
  <c r="I94" i="1" s="1"/>
  <c r="C95" i="1"/>
  <c r="E95" i="1"/>
  <c r="F95" i="1"/>
  <c r="G95" i="1"/>
  <c r="H95" i="1"/>
  <c r="H36" i="5"/>
  <c r="K36" i="5"/>
  <c r="I95" i="1" s="1"/>
  <c r="C96" i="1"/>
  <c r="E96" i="1"/>
  <c r="F96" i="1"/>
  <c r="G96" i="1"/>
  <c r="H96" i="1"/>
  <c r="H37" i="5"/>
  <c r="K37" i="5"/>
  <c r="I96" i="1" s="1"/>
  <c r="C97" i="1"/>
  <c r="E97" i="1"/>
  <c r="F97" i="1"/>
  <c r="G97" i="1"/>
  <c r="H97" i="1"/>
  <c r="H38" i="5"/>
  <c r="K38" i="5"/>
  <c r="I97" i="1" s="1"/>
  <c r="C98" i="1"/>
  <c r="E98" i="1"/>
  <c r="F98" i="1"/>
  <c r="G98" i="1"/>
  <c r="H98" i="1"/>
  <c r="H39" i="5"/>
  <c r="K39" i="5"/>
  <c r="I98" i="1" s="1"/>
  <c r="C99" i="1"/>
  <c r="E99" i="1"/>
  <c r="F99" i="1"/>
  <c r="G99" i="1"/>
  <c r="H99" i="1"/>
  <c r="H40" i="5"/>
  <c r="K40" i="5"/>
  <c r="I99" i="1" s="1"/>
  <c r="C100" i="1"/>
  <c r="E100" i="1"/>
  <c r="F100" i="1"/>
  <c r="G100" i="1"/>
  <c r="H100" i="1"/>
  <c r="H41" i="5"/>
  <c r="K41" i="5"/>
  <c r="I100" i="1" s="1"/>
  <c r="C101" i="1"/>
  <c r="E101" i="1"/>
  <c r="F101" i="1"/>
  <c r="G101" i="1"/>
  <c r="H101" i="1"/>
  <c r="H42" i="5"/>
  <c r="K42" i="5"/>
  <c r="I101" i="1" s="1"/>
  <c r="C102" i="1"/>
  <c r="E102" i="1"/>
  <c r="F102" i="1"/>
  <c r="G102" i="1"/>
  <c r="H102" i="1"/>
  <c r="H44" i="5"/>
  <c r="K44" i="5"/>
  <c r="I102" i="1" s="1"/>
  <c r="C103" i="1"/>
  <c r="E103" i="1"/>
  <c r="F103" i="1"/>
  <c r="G103" i="1"/>
  <c r="H103" i="1"/>
  <c r="H45" i="5"/>
  <c r="K45" i="5"/>
  <c r="I103" i="1" s="1"/>
  <c r="C104" i="1"/>
  <c r="E104" i="1"/>
  <c r="F104" i="1"/>
  <c r="G104" i="1"/>
  <c r="H104" i="1"/>
  <c r="H46" i="5"/>
  <c r="K46" i="5"/>
  <c r="I104" i="1" s="1"/>
  <c r="C105" i="1"/>
  <c r="E105" i="1"/>
  <c r="F105" i="1"/>
  <c r="G105" i="1"/>
  <c r="H105" i="1"/>
  <c r="H47" i="5"/>
  <c r="K47" i="5"/>
  <c r="I105" i="1" s="1"/>
  <c r="C106" i="1"/>
  <c r="E106" i="1"/>
  <c r="F106" i="1"/>
  <c r="G106" i="1"/>
  <c r="H106" i="1"/>
  <c r="H48" i="5"/>
  <c r="K48" i="5"/>
  <c r="I106" i="1" s="1"/>
  <c r="C107" i="1"/>
  <c r="E107" i="1"/>
  <c r="F107" i="1"/>
  <c r="G107" i="1"/>
  <c r="H107" i="1"/>
  <c r="H49" i="5"/>
  <c r="K49" i="5"/>
  <c r="I107" i="1" s="1"/>
  <c r="C108" i="1"/>
  <c r="E108" i="1"/>
  <c r="F108" i="1"/>
  <c r="G108" i="1"/>
  <c r="H108" i="1"/>
  <c r="H50" i="5"/>
  <c r="K50" i="5"/>
  <c r="I108" i="1" s="1"/>
  <c r="C109" i="1"/>
  <c r="E109" i="1"/>
  <c r="F109" i="1"/>
  <c r="G109" i="1"/>
  <c r="H109" i="1"/>
  <c r="H51" i="5"/>
  <c r="K51" i="5"/>
  <c r="I109" i="1" s="1"/>
  <c r="C110" i="1"/>
  <c r="E110" i="1"/>
  <c r="F110" i="1"/>
  <c r="G110" i="1"/>
  <c r="H110" i="1"/>
  <c r="H52" i="5"/>
  <c r="K52" i="5"/>
  <c r="I110" i="1" s="1"/>
  <c r="C111" i="1"/>
  <c r="E111" i="1"/>
  <c r="F111" i="1"/>
  <c r="G111" i="1"/>
  <c r="H111" i="1"/>
  <c r="H53" i="5"/>
  <c r="K53" i="5"/>
  <c r="I111" i="1" s="1"/>
  <c r="C112" i="1"/>
  <c r="E112" i="1"/>
  <c r="F112" i="1"/>
  <c r="G112" i="1"/>
  <c r="H112" i="1"/>
  <c r="H54" i="5"/>
  <c r="K54" i="5"/>
  <c r="I112" i="1" s="1"/>
  <c r="C113" i="1"/>
  <c r="E113" i="1"/>
  <c r="F113" i="1"/>
  <c r="G113" i="1"/>
  <c r="H113" i="1"/>
  <c r="H55" i="5"/>
  <c r="K55" i="5"/>
  <c r="I113" i="1" s="1"/>
  <c r="C114" i="1"/>
  <c r="E114" i="1"/>
  <c r="F114" i="1"/>
  <c r="G114" i="1"/>
  <c r="H114" i="1"/>
  <c r="H56" i="5"/>
  <c r="K56" i="5"/>
  <c r="I114" i="1" s="1"/>
  <c r="C115" i="1"/>
  <c r="E115" i="1"/>
  <c r="F115" i="1"/>
  <c r="G115" i="1"/>
  <c r="H115" i="1"/>
  <c r="H58" i="5"/>
  <c r="K58" i="5"/>
  <c r="I115" i="1" s="1"/>
  <c r="C116" i="1"/>
  <c r="E116" i="1"/>
  <c r="F116" i="1"/>
  <c r="G116" i="1"/>
  <c r="H116" i="1"/>
  <c r="H59" i="5"/>
  <c r="K59" i="5"/>
  <c r="I116" i="1" s="1"/>
  <c r="C117" i="1"/>
  <c r="E117" i="1"/>
  <c r="F117" i="1"/>
  <c r="G117" i="1"/>
  <c r="H117" i="1"/>
  <c r="H60" i="5"/>
  <c r="K60" i="5"/>
  <c r="I117" i="1" s="1"/>
  <c r="C118" i="1"/>
  <c r="E118" i="1"/>
  <c r="F118" i="1"/>
  <c r="G118" i="1"/>
  <c r="H118" i="1"/>
  <c r="H61" i="5"/>
  <c r="K61" i="5"/>
  <c r="I118" i="1" s="1"/>
  <c r="C119" i="1"/>
  <c r="E119" i="1"/>
  <c r="F119" i="1"/>
  <c r="G119" i="1"/>
  <c r="H119" i="1"/>
  <c r="H62" i="5"/>
  <c r="K62" i="5"/>
  <c r="I119" i="1" s="1"/>
  <c r="C120" i="1"/>
  <c r="E120" i="1"/>
  <c r="F120" i="1"/>
  <c r="G120" i="1"/>
  <c r="H120" i="1"/>
  <c r="H66" i="5"/>
  <c r="K66" i="5"/>
  <c r="I120" i="1" s="1"/>
  <c r="C121" i="1"/>
  <c r="E121" i="1"/>
  <c r="F121" i="1"/>
  <c r="G121" i="1"/>
  <c r="H121" i="1"/>
  <c r="H67" i="5"/>
  <c r="K67" i="5"/>
  <c r="I121" i="1" s="1"/>
  <c r="C122" i="1"/>
  <c r="E122" i="1"/>
  <c r="F122" i="1"/>
  <c r="G122" i="1"/>
  <c r="H122" i="1"/>
  <c r="H68" i="5"/>
  <c r="K68" i="5"/>
  <c r="I122" i="1" s="1"/>
  <c r="C123" i="1"/>
  <c r="E123" i="1"/>
  <c r="F123" i="1"/>
  <c r="G123" i="1"/>
  <c r="H123" i="1"/>
  <c r="H69" i="5"/>
  <c r="K69" i="5"/>
  <c r="I123" i="1" s="1"/>
  <c r="C124" i="1"/>
  <c r="E124" i="1"/>
  <c r="F124" i="1"/>
  <c r="G124" i="1"/>
  <c r="H124" i="1"/>
  <c r="H70" i="5"/>
  <c r="K70" i="5"/>
  <c r="I124" i="1" s="1"/>
  <c r="C125" i="1"/>
  <c r="E125" i="1"/>
  <c r="F125" i="1"/>
  <c r="G125" i="1"/>
  <c r="H125" i="1"/>
  <c r="H72" i="5"/>
  <c r="K72" i="5"/>
  <c r="I125" i="1" s="1"/>
  <c r="C126" i="1"/>
  <c r="E126" i="1"/>
  <c r="F126" i="1"/>
  <c r="G126" i="1"/>
  <c r="H126" i="1"/>
  <c r="H73" i="5"/>
  <c r="K73" i="5"/>
  <c r="I126" i="1" s="1"/>
  <c r="C127" i="1"/>
  <c r="E127" i="1"/>
  <c r="F127" i="1"/>
  <c r="G127" i="1"/>
  <c r="H127" i="1"/>
  <c r="H74" i="5"/>
  <c r="K74" i="5"/>
  <c r="I127" i="1" s="1"/>
  <c r="C128" i="1"/>
  <c r="E128" i="1"/>
  <c r="F128" i="1"/>
  <c r="G128" i="1"/>
  <c r="H128" i="1"/>
  <c r="H75" i="5"/>
  <c r="K75" i="5"/>
  <c r="I128" i="1" s="1"/>
  <c r="C129" i="1"/>
  <c r="E129" i="1"/>
  <c r="F129" i="1"/>
  <c r="G129" i="1"/>
  <c r="H129" i="1"/>
  <c r="H76" i="5"/>
  <c r="K76" i="5"/>
  <c r="I129" i="1" s="1"/>
  <c r="C130" i="1"/>
  <c r="E130" i="1"/>
  <c r="F130" i="1"/>
  <c r="G130" i="1"/>
  <c r="H130" i="1"/>
  <c r="H77" i="5"/>
  <c r="K77" i="5"/>
  <c r="I130" i="1" s="1"/>
  <c r="C131" i="1"/>
  <c r="E131" i="1"/>
  <c r="F131" i="1"/>
  <c r="G131" i="1"/>
  <c r="H131" i="1"/>
  <c r="H78" i="5"/>
  <c r="K78" i="5"/>
  <c r="I131" i="1" s="1"/>
  <c r="C132" i="1"/>
  <c r="E132" i="1"/>
  <c r="F132" i="1"/>
  <c r="G132" i="1"/>
  <c r="H132" i="1"/>
  <c r="H80" i="5"/>
  <c r="K80" i="5"/>
  <c r="I132" i="1" s="1"/>
  <c r="C133" i="1"/>
  <c r="E133" i="1"/>
  <c r="F133" i="1"/>
  <c r="G133" i="1"/>
  <c r="H133" i="1"/>
  <c r="H81" i="5"/>
  <c r="K81" i="5"/>
  <c r="I133" i="1" s="1"/>
  <c r="C138" i="1"/>
  <c r="E138" i="1"/>
  <c r="E89" i="5"/>
  <c r="F138" i="1"/>
  <c r="G138" i="1"/>
  <c r="H138" i="1"/>
  <c r="H89" i="5"/>
  <c r="K89" i="5"/>
  <c r="K92" i="5" s="1"/>
  <c r="K14" i="5" s="1"/>
  <c r="I138" i="1"/>
  <c r="H22" i="5"/>
  <c r="K22" i="5"/>
  <c r="K85" i="5" s="1"/>
  <c r="K13" i="5" s="1"/>
  <c r="F22" i="5"/>
  <c r="F23" i="5"/>
  <c r="F24" i="5"/>
  <c r="F25" i="5"/>
  <c r="F27" i="5"/>
  <c r="F29" i="5"/>
  <c r="F30" i="5"/>
  <c r="F31" i="5"/>
  <c r="F32" i="5"/>
  <c r="F34" i="5"/>
  <c r="F36" i="5"/>
  <c r="F37" i="5"/>
  <c r="F38" i="5"/>
  <c r="F39" i="5"/>
  <c r="F40" i="5"/>
  <c r="F41" i="5"/>
  <c r="F42" i="5"/>
  <c r="F44" i="5"/>
  <c r="F45" i="5"/>
  <c r="F46" i="5"/>
  <c r="F47" i="5"/>
  <c r="F48" i="5"/>
  <c r="F49" i="5"/>
  <c r="F50" i="5"/>
  <c r="F51" i="5"/>
  <c r="F52" i="5"/>
  <c r="F53" i="5"/>
  <c r="F54" i="5"/>
  <c r="F55" i="5"/>
  <c r="F56" i="5"/>
  <c r="F58" i="5"/>
  <c r="F59" i="5"/>
  <c r="F60" i="5"/>
  <c r="F61" i="5"/>
  <c r="F62" i="5"/>
  <c r="F66" i="5"/>
  <c r="F67" i="5"/>
  <c r="F68" i="5"/>
  <c r="F69" i="5"/>
  <c r="F70" i="5"/>
  <c r="F72" i="5"/>
  <c r="F73" i="5"/>
  <c r="F74" i="5"/>
  <c r="F75" i="5"/>
  <c r="F76" i="5"/>
  <c r="F77" i="5"/>
  <c r="F78" i="5"/>
  <c r="F80" i="5"/>
  <c r="F81" i="5"/>
  <c r="F82" i="5"/>
  <c r="F83" i="5"/>
  <c r="F84" i="5"/>
  <c r="F85" i="5"/>
  <c r="E85" i="1"/>
  <c r="F85" i="1"/>
  <c r="G85" i="1"/>
  <c r="I23" i="5"/>
  <c r="I24" i="5"/>
  <c r="I22" i="5"/>
  <c r="I25" i="5"/>
  <c r="H21" i="5"/>
  <c r="C230" i="1"/>
  <c r="E230" i="1"/>
  <c r="F230" i="1"/>
  <c r="G230" i="1"/>
  <c r="H230" i="1"/>
  <c r="C231" i="1"/>
  <c r="E231" i="1"/>
  <c r="F231" i="1"/>
  <c r="G231" i="1"/>
  <c r="H231" i="1"/>
  <c r="C232" i="1"/>
  <c r="E232" i="1"/>
  <c r="F232" i="1"/>
  <c r="G232" i="1"/>
  <c r="H232" i="1"/>
  <c r="C233" i="1"/>
  <c r="E233" i="1"/>
  <c r="F233" i="1"/>
  <c r="G233" i="1"/>
  <c r="H233" i="1"/>
  <c r="I233" i="1"/>
  <c r="C234" i="1"/>
  <c r="E234" i="1"/>
  <c r="F234" i="1"/>
  <c r="G234" i="1"/>
  <c r="H234" i="1"/>
  <c r="I234" i="1"/>
  <c r="C235" i="1"/>
  <c r="E235" i="1"/>
  <c r="F235" i="1"/>
  <c r="G235" i="1"/>
  <c r="H235" i="1"/>
  <c r="I235" i="1"/>
  <c r="C207" i="1"/>
  <c r="E207" i="1"/>
  <c r="F207" i="1"/>
  <c r="G207" i="1"/>
  <c r="H207" i="1"/>
  <c r="C208" i="1"/>
  <c r="E208" i="1"/>
  <c r="F208" i="1"/>
  <c r="G208" i="1"/>
  <c r="H208" i="1"/>
  <c r="C209" i="1"/>
  <c r="E209" i="1"/>
  <c r="F209" i="1"/>
  <c r="G209" i="1"/>
  <c r="H209" i="1"/>
  <c r="C210" i="1"/>
  <c r="E210" i="1"/>
  <c r="F210" i="1"/>
  <c r="G210" i="1"/>
  <c r="H210" i="1"/>
  <c r="I210" i="1"/>
  <c r="C211" i="1"/>
  <c r="E211" i="1"/>
  <c r="F211" i="1"/>
  <c r="G211" i="1"/>
  <c r="H211" i="1"/>
  <c r="C212" i="1"/>
  <c r="E212" i="1"/>
  <c r="F212" i="1"/>
  <c r="G212" i="1"/>
  <c r="H212" i="1"/>
  <c r="I212" i="1"/>
  <c r="C213" i="1"/>
  <c r="E213" i="1"/>
  <c r="F213" i="1"/>
  <c r="G213" i="1"/>
  <c r="H213" i="1"/>
  <c r="C214" i="1"/>
  <c r="E214" i="1"/>
  <c r="F214" i="1"/>
  <c r="G214" i="1"/>
  <c r="H214" i="1"/>
  <c r="C215" i="1"/>
  <c r="E215" i="1"/>
  <c r="F215" i="1"/>
  <c r="G215" i="1"/>
  <c r="H215" i="1"/>
  <c r="C216" i="1"/>
  <c r="E216" i="1"/>
  <c r="F216" i="1"/>
  <c r="G216" i="1"/>
  <c r="H216" i="1"/>
  <c r="I216" i="1"/>
  <c r="C217" i="1"/>
  <c r="E217" i="1"/>
  <c r="F217" i="1"/>
  <c r="G217" i="1"/>
  <c r="H217" i="1"/>
  <c r="C218" i="1"/>
  <c r="E218" i="1"/>
  <c r="F218" i="1"/>
  <c r="G218" i="1"/>
  <c r="H218" i="1"/>
  <c r="I218" i="1"/>
  <c r="C219" i="1"/>
  <c r="E219" i="1"/>
  <c r="F219" i="1"/>
  <c r="G219" i="1"/>
  <c r="H219" i="1"/>
  <c r="C220" i="1"/>
  <c r="E220" i="1"/>
  <c r="F220" i="1"/>
  <c r="G220" i="1"/>
  <c r="H220" i="1"/>
  <c r="C221" i="1"/>
  <c r="E221" i="1"/>
  <c r="F221" i="1"/>
  <c r="G221" i="1"/>
  <c r="H221" i="1"/>
  <c r="C222" i="1"/>
  <c r="E222" i="1"/>
  <c r="F222" i="1"/>
  <c r="G222" i="1"/>
  <c r="H222" i="1"/>
  <c r="I222" i="1"/>
  <c r="C223" i="1"/>
  <c r="E223" i="1"/>
  <c r="F223" i="1"/>
  <c r="G223" i="1"/>
  <c r="H223" i="1"/>
  <c r="C224" i="1"/>
  <c r="E224" i="1"/>
  <c r="F224" i="1"/>
  <c r="G224" i="1"/>
  <c r="H224" i="1"/>
  <c r="C225" i="1"/>
  <c r="E225" i="1"/>
  <c r="F225" i="1"/>
  <c r="G225" i="1"/>
  <c r="H225" i="1"/>
  <c r="I225" i="1"/>
  <c r="C226" i="1"/>
  <c r="E226" i="1"/>
  <c r="F226" i="1"/>
  <c r="G226" i="1"/>
  <c r="H226" i="1"/>
  <c r="I226" i="1"/>
  <c r="C227" i="1"/>
  <c r="E227" i="1"/>
  <c r="F227" i="1"/>
  <c r="G227" i="1"/>
  <c r="H227" i="1"/>
  <c r="I227" i="1"/>
  <c r="C144" i="1"/>
  <c r="E144" i="1"/>
  <c r="F144" i="1"/>
  <c r="G144" i="1"/>
  <c r="H144" i="1"/>
  <c r="C145" i="1"/>
  <c r="E145" i="1"/>
  <c r="F145" i="1"/>
  <c r="G145" i="1"/>
  <c r="H145" i="1"/>
  <c r="C146" i="1"/>
  <c r="E146" i="1"/>
  <c r="F146" i="1"/>
  <c r="G146" i="1"/>
  <c r="H146" i="1"/>
  <c r="I146" i="1"/>
  <c r="C147" i="1"/>
  <c r="E147" i="1"/>
  <c r="F147" i="1"/>
  <c r="G147" i="1"/>
  <c r="H147" i="1"/>
  <c r="C148" i="1"/>
  <c r="E148" i="1"/>
  <c r="F148" i="1"/>
  <c r="G148" i="1"/>
  <c r="H148" i="1"/>
  <c r="C149" i="1"/>
  <c r="E149" i="1"/>
  <c r="F149" i="1"/>
  <c r="G149" i="1"/>
  <c r="H149" i="1"/>
  <c r="C150" i="1"/>
  <c r="E150" i="1"/>
  <c r="F150" i="1"/>
  <c r="G150" i="1"/>
  <c r="H150" i="1"/>
  <c r="C151" i="1"/>
  <c r="E151" i="1"/>
  <c r="F151" i="1"/>
  <c r="G151" i="1"/>
  <c r="H151" i="1"/>
  <c r="C152" i="1"/>
  <c r="E152" i="1"/>
  <c r="F152" i="1"/>
  <c r="G152" i="1"/>
  <c r="H152" i="1"/>
  <c r="I152" i="1"/>
  <c r="C153" i="1"/>
  <c r="E153" i="1"/>
  <c r="F153" i="1"/>
  <c r="G153" i="1"/>
  <c r="H153" i="1"/>
  <c r="K31" i="6"/>
  <c r="I153" i="1" s="1"/>
  <c r="C154" i="1"/>
  <c r="E154" i="1"/>
  <c r="F154" i="1"/>
  <c r="G154" i="1"/>
  <c r="H154" i="1"/>
  <c r="K32" i="6"/>
  <c r="I154" i="1" s="1"/>
  <c r="C155" i="1"/>
  <c r="E155" i="1"/>
  <c r="F155" i="1"/>
  <c r="G155" i="1"/>
  <c r="H155" i="1"/>
  <c r="I155" i="1"/>
  <c r="C156" i="1"/>
  <c r="E156" i="1"/>
  <c r="F156" i="1"/>
  <c r="G156" i="1"/>
  <c r="H156" i="1"/>
  <c r="C157" i="1"/>
  <c r="E157" i="1"/>
  <c r="F157" i="1"/>
  <c r="G157" i="1"/>
  <c r="H157" i="1"/>
  <c r="I157" i="1"/>
  <c r="C158" i="1"/>
  <c r="E158" i="1"/>
  <c r="F158" i="1"/>
  <c r="G158" i="1"/>
  <c r="H158" i="1"/>
  <c r="C159" i="1"/>
  <c r="E159" i="1"/>
  <c r="F159" i="1"/>
  <c r="G159" i="1"/>
  <c r="H159" i="1"/>
  <c r="I159" i="1"/>
  <c r="C160" i="1"/>
  <c r="E160" i="1"/>
  <c r="F160" i="1"/>
  <c r="G160" i="1"/>
  <c r="H160" i="1"/>
  <c r="C161" i="1"/>
  <c r="E161" i="1"/>
  <c r="F161" i="1"/>
  <c r="G161" i="1"/>
  <c r="H161" i="1"/>
  <c r="I161" i="1"/>
  <c r="C162" i="1"/>
  <c r="E162" i="1"/>
  <c r="F162" i="1"/>
  <c r="G162" i="1"/>
  <c r="H162" i="1"/>
  <c r="C163" i="1"/>
  <c r="E163" i="1"/>
  <c r="F163" i="1"/>
  <c r="G163" i="1"/>
  <c r="H163" i="1"/>
  <c r="I163" i="1"/>
  <c r="C164" i="1"/>
  <c r="E164" i="1"/>
  <c r="F164" i="1"/>
  <c r="G164" i="1"/>
  <c r="H164" i="1"/>
  <c r="C165" i="1"/>
  <c r="E165" i="1"/>
  <c r="F165" i="1"/>
  <c r="G165" i="1"/>
  <c r="H165" i="1"/>
  <c r="I165" i="1"/>
  <c r="C166" i="1"/>
  <c r="E166" i="1"/>
  <c r="F166" i="1"/>
  <c r="G166" i="1"/>
  <c r="H166" i="1"/>
  <c r="C167" i="1"/>
  <c r="E167" i="1"/>
  <c r="F167" i="1"/>
  <c r="G167" i="1"/>
  <c r="H167" i="1"/>
  <c r="I167" i="1"/>
  <c r="C168" i="1"/>
  <c r="E168" i="1"/>
  <c r="F168" i="1"/>
  <c r="G168" i="1"/>
  <c r="H168" i="1"/>
  <c r="C169" i="1"/>
  <c r="E169" i="1"/>
  <c r="F169" i="1"/>
  <c r="G169" i="1"/>
  <c r="H169" i="1"/>
  <c r="K47" i="6"/>
  <c r="I169" i="1"/>
  <c r="C170" i="1"/>
  <c r="E170" i="1"/>
  <c r="F170" i="1"/>
  <c r="G170" i="1"/>
  <c r="H170" i="1"/>
  <c r="C171" i="1"/>
  <c r="E171" i="1"/>
  <c r="F171" i="1"/>
  <c r="G171" i="1"/>
  <c r="H171" i="1"/>
  <c r="I171" i="1"/>
  <c r="C172" i="1"/>
  <c r="E172" i="1"/>
  <c r="F172" i="1"/>
  <c r="G172" i="1"/>
  <c r="H172" i="1"/>
  <c r="C173" i="1"/>
  <c r="E173" i="1"/>
  <c r="F173" i="1"/>
  <c r="G173" i="1"/>
  <c r="H173" i="1"/>
  <c r="I173" i="1"/>
  <c r="C174" i="1"/>
  <c r="E174" i="1"/>
  <c r="F31" i="6"/>
  <c r="F32" i="6"/>
  <c r="F46" i="6"/>
  <c r="F47" i="6"/>
  <c r="E53" i="6"/>
  <c r="F174" i="1"/>
  <c r="G174" i="1"/>
  <c r="J53" i="6"/>
  <c r="H174" i="1"/>
  <c r="K53" i="6"/>
  <c r="I174" i="1"/>
  <c r="C175" i="1"/>
  <c r="E175" i="1"/>
  <c r="E54" i="6"/>
  <c r="F175" i="1"/>
  <c r="G175" i="1"/>
  <c r="J54" i="6"/>
  <c r="H175" i="1"/>
  <c r="K54" i="6"/>
  <c r="I175" i="1"/>
  <c r="C176" i="1"/>
  <c r="E176" i="1"/>
  <c r="F176" i="1"/>
  <c r="G176" i="1"/>
  <c r="H176" i="1"/>
  <c r="C177" i="1"/>
  <c r="E177" i="1"/>
  <c r="F177" i="1"/>
  <c r="G177" i="1"/>
  <c r="H177" i="1"/>
  <c r="C178" i="1"/>
  <c r="E178" i="1"/>
  <c r="F178" i="1"/>
  <c r="G178" i="1"/>
  <c r="H178" i="1"/>
  <c r="C179" i="1"/>
  <c r="E179" i="1"/>
  <c r="F179" i="1"/>
  <c r="G179" i="1"/>
  <c r="H179" i="1"/>
  <c r="C180" i="1"/>
  <c r="E180" i="1"/>
  <c r="F180" i="1"/>
  <c r="G180" i="1"/>
  <c r="H180" i="1"/>
  <c r="C181" i="1"/>
  <c r="E181" i="1"/>
  <c r="F181" i="1"/>
  <c r="G181" i="1"/>
  <c r="H181" i="1"/>
  <c r="C182" i="1"/>
  <c r="E182" i="1"/>
  <c r="F182" i="1"/>
  <c r="G182" i="1"/>
  <c r="H182" i="1"/>
  <c r="C183" i="1"/>
  <c r="E183" i="1"/>
  <c r="F183" i="1"/>
  <c r="G183" i="1"/>
  <c r="H183" i="1"/>
  <c r="C184" i="1"/>
  <c r="E184" i="1"/>
  <c r="F184" i="1"/>
  <c r="G184" i="1"/>
  <c r="H184" i="1"/>
  <c r="K64" i="6"/>
  <c r="I184" i="1" s="1"/>
  <c r="C185" i="1"/>
  <c r="E185" i="1"/>
  <c r="F185" i="1"/>
  <c r="G185" i="1"/>
  <c r="H185" i="1"/>
  <c r="I185" i="1"/>
  <c r="C186" i="1"/>
  <c r="E186" i="1"/>
  <c r="F186" i="1"/>
  <c r="G186" i="1"/>
  <c r="H186" i="1"/>
  <c r="C187" i="1"/>
  <c r="E187" i="1"/>
  <c r="F187" i="1"/>
  <c r="G187" i="1"/>
  <c r="H187" i="1"/>
  <c r="I187" i="1"/>
  <c r="C188" i="1"/>
  <c r="E188" i="1"/>
  <c r="F188" i="1"/>
  <c r="G188" i="1"/>
  <c r="H188" i="1"/>
  <c r="C189" i="1"/>
  <c r="E189" i="1"/>
  <c r="F189" i="1"/>
  <c r="G189" i="1"/>
  <c r="H189" i="1"/>
  <c r="C190" i="1"/>
  <c r="E190" i="1"/>
  <c r="F190" i="1"/>
  <c r="G190" i="1"/>
  <c r="H190" i="1"/>
  <c r="C191" i="1"/>
  <c r="E191" i="1"/>
  <c r="F191" i="1"/>
  <c r="G191" i="1"/>
  <c r="H191" i="1"/>
  <c r="I191" i="1"/>
  <c r="C192" i="1"/>
  <c r="E192" i="1"/>
  <c r="F192" i="1"/>
  <c r="G192" i="1"/>
  <c r="H192" i="1"/>
  <c r="C193" i="1"/>
  <c r="E193" i="1"/>
  <c r="F193" i="1"/>
  <c r="G193" i="1"/>
  <c r="H193" i="1"/>
  <c r="I193" i="1"/>
  <c r="C194" i="1"/>
  <c r="E194" i="1"/>
  <c r="F194" i="1"/>
  <c r="G194" i="1"/>
  <c r="H194" i="1"/>
  <c r="C195" i="1"/>
  <c r="E195" i="1"/>
  <c r="F195" i="1"/>
  <c r="G195" i="1"/>
  <c r="H195" i="1"/>
  <c r="C196" i="1"/>
  <c r="E196" i="1"/>
  <c r="F196" i="1"/>
  <c r="G196" i="1"/>
  <c r="H196" i="1"/>
  <c r="C197" i="1"/>
  <c r="E197" i="1"/>
  <c r="F197" i="1"/>
  <c r="G197" i="1"/>
  <c r="H197" i="1"/>
  <c r="K77" i="6"/>
  <c r="I197" i="1"/>
  <c r="C198" i="1"/>
  <c r="E198" i="1"/>
  <c r="F198" i="1"/>
  <c r="G198" i="1"/>
  <c r="H198" i="1"/>
  <c r="I198" i="1"/>
  <c r="C199" i="1"/>
  <c r="E199" i="1"/>
  <c r="F199" i="1"/>
  <c r="G199" i="1"/>
  <c r="H199" i="1"/>
  <c r="I199" i="1"/>
  <c r="C200" i="1"/>
  <c r="E200" i="1"/>
  <c r="F200" i="1"/>
  <c r="G200" i="1"/>
  <c r="H200" i="1"/>
  <c r="C201" i="1"/>
  <c r="E201" i="1"/>
  <c r="F201" i="1"/>
  <c r="G201" i="1"/>
  <c r="H201" i="1"/>
  <c r="I201" i="1"/>
  <c r="C202" i="1"/>
  <c r="E202" i="1"/>
  <c r="F64" i="6"/>
  <c r="F77" i="6"/>
  <c r="E83" i="6"/>
  <c r="F202" i="1"/>
  <c r="G202" i="1"/>
  <c r="C203" i="1"/>
  <c r="E203" i="1"/>
  <c r="E84" i="6"/>
  <c r="F203" i="1"/>
  <c r="G203" i="1"/>
  <c r="H78" i="6"/>
  <c r="K78" i="6"/>
  <c r="I78" i="6"/>
  <c r="F78" i="6"/>
  <c r="H80" i="6"/>
  <c r="K80" i="6"/>
  <c r="I200" i="1" s="1"/>
  <c r="I80" i="6"/>
  <c r="F80" i="6"/>
  <c r="H79" i="6"/>
  <c r="K79" i="6"/>
  <c r="I79" i="6"/>
  <c r="F79" i="6"/>
  <c r="H48" i="6"/>
  <c r="K48" i="6"/>
  <c r="I170" i="1" s="1"/>
  <c r="I48" i="6"/>
  <c r="F48" i="6"/>
  <c r="H50" i="6"/>
  <c r="K50" i="6"/>
  <c r="I172" i="1" s="1"/>
  <c r="I50" i="6"/>
  <c r="F50" i="6"/>
  <c r="H49" i="6"/>
  <c r="K49" i="6"/>
  <c r="I49" i="6"/>
  <c r="F49" i="6"/>
  <c r="H53" i="7"/>
  <c r="K53" i="7"/>
  <c r="I231" i="1" s="1"/>
  <c r="I53" i="7"/>
  <c r="F53" i="7"/>
  <c r="H54" i="7"/>
  <c r="K54" i="7"/>
  <c r="I232" i="1" s="1"/>
  <c r="I54" i="7"/>
  <c r="F54" i="7"/>
  <c r="H41" i="7"/>
  <c r="K41" i="7"/>
  <c r="I223" i="1" s="1"/>
  <c r="I41" i="7"/>
  <c r="F41" i="7"/>
  <c r="I62" i="5"/>
  <c r="I61" i="5"/>
  <c r="I60" i="5"/>
  <c r="I59" i="5"/>
  <c r="I58" i="5"/>
  <c r="H57" i="5"/>
  <c r="I49" i="5"/>
  <c r="I52" i="5"/>
  <c r="I31" i="5"/>
  <c r="I41" i="5"/>
  <c r="F16" i="1"/>
  <c r="E16" i="1"/>
  <c r="G16" i="1"/>
  <c r="F17" i="1"/>
  <c r="E17" i="1"/>
  <c r="G17" i="1"/>
  <c r="F18" i="1"/>
  <c r="E18" i="1"/>
  <c r="G18" i="1"/>
  <c r="F19" i="1"/>
  <c r="E19" i="1"/>
  <c r="G19" i="1"/>
  <c r="F20" i="1"/>
  <c r="E20" i="1"/>
  <c r="G20" i="1"/>
  <c r="F22" i="1"/>
  <c r="E22" i="1"/>
  <c r="G22" i="1"/>
  <c r="F23" i="1"/>
  <c r="E23" i="1"/>
  <c r="G23" i="1"/>
  <c r="F24" i="1"/>
  <c r="E24" i="1"/>
  <c r="G24" i="1"/>
  <c r="F25" i="1"/>
  <c r="E25" i="1"/>
  <c r="G25" i="1"/>
  <c r="F26" i="1"/>
  <c r="E26" i="1"/>
  <c r="G26" i="1"/>
  <c r="F27" i="1"/>
  <c r="E27" i="1"/>
  <c r="G27" i="1"/>
  <c r="F28" i="1"/>
  <c r="E28" i="1"/>
  <c r="G28" i="1"/>
  <c r="F29" i="1"/>
  <c r="E29" i="1"/>
  <c r="G29" i="1"/>
  <c r="F30" i="1"/>
  <c r="E30" i="1"/>
  <c r="G30" i="1"/>
  <c r="F31" i="1"/>
  <c r="E31" i="1"/>
  <c r="G31" i="1"/>
  <c r="F32" i="1"/>
  <c r="E32" i="1"/>
  <c r="G32" i="1"/>
  <c r="F33" i="1"/>
  <c r="E33" i="1"/>
  <c r="G33" i="1"/>
  <c r="F34" i="1"/>
  <c r="E34" i="1"/>
  <c r="G34" i="1"/>
  <c r="F35" i="1"/>
  <c r="E35" i="1"/>
  <c r="G35" i="1"/>
  <c r="F36" i="1"/>
  <c r="E36" i="1"/>
  <c r="G36" i="1"/>
  <c r="F37" i="1"/>
  <c r="E37" i="1"/>
  <c r="G37" i="1"/>
  <c r="F38" i="1"/>
  <c r="E38" i="1"/>
  <c r="G38" i="1"/>
  <c r="F40" i="1"/>
  <c r="E40" i="1"/>
  <c r="G40" i="1"/>
  <c r="F41" i="1"/>
  <c r="E41" i="1"/>
  <c r="G41" i="1"/>
  <c r="F42" i="1"/>
  <c r="E42" i="1"/>
  <c r="G42" i="1"/>
  <c r="F43" i="1"/>
  <c r="E43" i="1"/>
  <c r="G43" i="1"/>
  <c r="F44" i="1"/>
  <c r="E44" i="1"/>
  <c r="G44" i="1"/>
  <c r="F45" i="1"/>
  <c r="E45" i="1"/>
  <c r="G45" i="1"/>
  <c r="F47" i="1"/>
  <c r="E47" i="1"/>
  <c r="G47" i="1"/>
  <c r="F48" i="1"/>
  <c r="E48" i="1"/>
  <c r="G48" i="1"/>
  <c r="F49" i="1"/>
  <c r="E49" i="1"/>
  <c r="G49" i="1"/>
  <c r="F50" i="1"/>
  <c r="E50" i="1"/>
  <c r="G50" i="1"/>
  <c r="F51" i="1"/>
  <c r="E51" i="1"/>
  <c r="G51" i="1"/>
  <c r="F52" i="1"/>
  <c r="E52" i="1"/>
  <c r="G52" i="1"/>
  <c r="F53" i="1"/>
  <c r="E53" i="1"/>
  <c r="G53" i="1"/>
  <c r="F54" i="1"/>
  <c r="E54" i="1"/>
  <c r="G54" i="1"/>
  <c r="F55" i="1"/>
  <c r="E55" i="1"/>
  <c r="G55" i="1"/>
  <c r="F56" i="1"/>
  <c r="E56" i="1"/>
  <c r="G56" i="1"/>
  <c r="F57" i="1"/>
  <c r="E57" i="1"/>
  <c r="G57" i="1"/>
  <c r="F58" i="1"/>
  <c r="E58" i="1"/>
  <c r="G58" i="1"/>
  <c r="F59" i="1"/>
  <c r="E59" i="1"/>
  <c r="G59" i="1"/>
  <c r="F60" i="1"/>
  <c r="E60" i="1"/>
  <c r="G60" i="1"/>
  <c r="F61" i="1"/>
  <c r="E61" i="1"/>
  <c r="G61" i="1"/>
  <c r="F62" i="1"/>
  <c r="E62" i="1"/>
  <c r="G62" i="1"/>
  <c r="F63" i="1"/>
  <c r="E63" i="1"/>
  <c r="G63" i="1"/>
  <c r="F64" i="1"/>
  <c r="E64" i="1"/>
  <c r="G64" i="1"/>
  <c r="F65" i="1"/>
  <c r="E65" i="1"/>
  <c r="G65" i="1"/>
  <c r="F66" i="1"/>
  <c r="E66" i="1"/>
  <c r="G66" i="1"/>
  <c r="F67" i="1"/>
  <c r="E67" i="1"/>
  <c r="G67" i="1"/>
  <c r="F68" i="1"/>
  <c r="E68" i="1"/>
  <c r="G68" i="1"/>
  <c r="F69" i="1"/>
  <c r="E69" i="1"/>
  <c r="G69" i="1"/>
  <c r="F70" i="1"/>
  <c r="E70" i="1"/>
  <c r="G70" i="1"/>
  <c r="F71" i="1"/>
  <c r="E71" i="1"/>
  <c r="G71" i="1"/>
  <c r="F72" i="1"/>
  <c r="E72" i="1"/>
  <c r="G72" i="1"/>
  <c r="F73" i="1"/>
  <c r="E73" i="1"/>
  <c r="G73" i="1"/>
  <c r="F74" i="1"/>
  <c r="E74" i="1"/>
  <c r="G74" i="1"/>
  <c r="F76" i="1"/>
  <c r="E76" i="1"/>
  <c r="G76" i="1"/>
  <c r="F143" i="1"/>
  <c r="E143" i="1"/>
  <c r="G143" i="1"/>
  <c r="A45" i="6"/>
  <c r="A46" i="6"/>
  <c r="A47" i="6"/>
  <c r="E52" i="6"/>
  <c r="F21" i="6"/>
  <c r="F22" i="6"/>
  <c r="F23" i="6"/>
  <c r="F24" i="6"/>
  <c r="F25" i="6"/>
  <c r="F26" i="6"/>
  <c r="F27" i="6"/>
  <c r="F28" i="6"/>
  <c r="F29" i="6"/>
  <c r="F30" i="6"/>
  <c r="F33" i="6"/>
  <c r="F34" i="6"/>
  <c r="F35" i="6"/>
  <c r="F36" i="6"/>
  <c r="F37" i="6"/>
  <c r="F38" i="6"/>
  <c r="F39" i="6"/>
  <c r="F40" i="6"/>
  <c r="F41" i="6"/>
  <c r="F42" i="6"/>
  <c r="F43" i="6"/>
  <c r="F44" i="6"/>
  <c r="F45" i="6"/>
  <c r="A75" i="6"/>
  <c r="A76" i="6"/>
  <c r="A77" i="6"/>
  <c r="E82" i="6"/>
  <c r="F67" i="6"/>
  <c r="F56" i="6"/>
  <c r="F57" i="6"/>
  <c r="F58" i="6"/>
  <c r="F59" i="6"/>
  <c r="F60" i="6"/>
  <c r="F61" i="6"/>
  <c r="F62" i="6"/>
  <c r="F63" i="6"/>
  <c r="F65" i="6"/>
  <c r="F66" i="6"/>
  <c r="F68" i="6"/>
  <c r="F69" i="6"/>
  <c r="F70" i="6"/>
  <c r="F71" i="6"/>
  <c r="F72" i="6"/>
  <c r="F73" i="6"/>
  <c r="F74" i="6"/>
  <c r="F75" i="6"/>
  <c r="F76" i="6"/>
  <c r="F206" i="1"/>
  <c r="E206" i="1"/>
  <c r="G206" i="1"/>
  <c r="E44" i="7"/>
  <c r="F32" i="7"/>
  <c r="F33" i="7"/>
  <c r="F34" i="7"/>
  <c r="F35" i="7"/>
  <c r="F36" i="7"/>
  <c r="F37" i="7"/>
  <c r="F38" i="7"/>
  <c r="F39" i="7"/>
  <c r="F40" i="7"/>
  <c r="F42" i="7"/>
  <c r="E45" i="7"/>
  <c r="E46" i="7"/>
  <c r="F229" i="1"/>
  <c r="E229" i="1"/>
  <c r="G229" i="1"/>
  <c r="E56" i="7"/>
  <c r="F51" i="7"/>
  <c r="F52" i="7"/>
  <c r="E57" i="7"/>
  <c r="E58" i="7"/>
  <c r="E63" i="7"/>
  <c r="F237" i="1"/>
  <c r="E237" i="1"/>
  <c r="G237" i="1"/>
  <c r="F239" i="1"/>
  <c r="E239" i="1"/>
  <c r="G239" i="1"/>
  <c r="F240" i="1"/>
  <c r="E240" i="1"/>
  <c r="G240" i="1"/>
  <c r="F241" i="1"/>
  <c r="E241" i="1"/>
  <c r="G241" i="1"/>
  <c r="F242" i="1"/>
  <c r="E242" i="1"/>
  <c r="G242" i="1"/>
  <c r="E73" i="7"/>
  <c r="F243" i="1"/>
  <c r="E243" i="1"/>
  <c r="G243" i="1"/>
  <c r="F68" i="7"/>
  <c r="F69" i="7"/>
  <c r="F70" i="7"/>
  <c r="F71" i="7"/>
  <c r="E74" i="7"/>
  <c r="F244" i="1"/>
  <c r="E244" i="1"/>
  <c r="G244" i="1"/>
  <c r="E75" i="7"/>
  <c r="F245" i="1"/>
  <c r="E245" i="1"/>
  <c r="G245" i="1"/>
  <c r="F15" i="1"/>
  <c r="E15" i="1"/>
  <c r="G15" i="1"/>
  <c r="D6" i="1"/>
  <c r="D5" i="1"/>
  <c r="D4" i="1"/>
  <c r="D3" i="1"/>
  <c r="H24" i="7"/>
  <c r="K24" i="7"/>
  <c r="I206" i="1" s="1"/>
  <c r="H25" i="7"/>
  <c r="K25" i="7"/>
  <c r="I207" i="1" s="1"/>
  <c r="H26" i="7"/>
  <c r="K26" i="7"/>
  <c r="I208" i="1" s="1"/>
  <c r="H27" i="7"/>
  <c r="K27" i="7"/>
  <c r="I209" i="1" s="1"/>
  <c r="H28" i="7"/>
  <c r="K28" i="7"/>
  <c r="H29" i="7"/>
  <c r="K29" i="7"/>
  <c r="I211" i="1" s="1"/>
  <c r="H30" i="7"/>
  <c r="K30" i="7"/>
  <c r="H31" i="7"/>
  <c r="K31" i="7"/>
  <c r="I213" i="1" s="1"/>
  <c r="H32" i="7"/>
  <c r="K32" i="7"/>
  <c r="I214" i="1" s="1"/>
  <c r="H33" i="7"/>
  <c r="K33" i="7"/>
  <c r="I215" i="1" s="1"/>
  <c r="H34" i="7"/>
  <c r="K34" i="7"/>
  <c r="H35" i="7"/>
  <c r="K35" i="7"/>
  <c r="I217" i="1" s="1"/>
  <c r="H36" i="7"/>
  <c r="K36" i="7"/>
  <c r="H37" i="7"/>
  <c r="K37" i="7"/>
  <c r="I219" i="1" s="1"/>
  <c r="H38" i="7"/>
  <c r="K38" i="7"/>
  <c r="I220" i="1" s="1"/>
  <c r="H39" i="7"/>
  <c r="K39" i="7"/>
  <c r="I221" i="1" s="1"/>
  <c r="H40" i="7"/>
  <c r="K40" i="7"/>
  <c r="H42" i="7"/>
  <c r="K42" i="7"/>
  <c r="I224" i="1" s="1"/>
  <c r="H44" i="7"/>
  <c r="K44" i="7"/>
  <c r="J45" i="7"/>
  <c r="H45" i="7"/>
  <c r="K45" i="7"/>
  <c r="J46" i="7"/>
  <c r="H46" i="7"/>
  <c r="K46" i="7"/>
  <c r="H51" i="7"/>
  <c r="K51" i="7"/>
  <c r="H52" i="7"/>
  <c r="K52" i="7"/>
  <c r="I230" i="1" s="1"/>
  <c r="H56" i="7"/>
  <c r="K56" i="7"/>
  <c r="J57" i="7"/>
  <c r="H57" i="7"/>
  <c r="K57" i="7"/>
  <c r="J58" i="7"/>
  <c r="H58" i="7"/>
  <c r="K58" i="7"/>
  <c r="H63" i="7"/>
  <c r="K63" i="7"/>
  <c r="K64" i="7" s="1"/>
  <c r="K15" i="7" s="1"/>
  <c r="H68" i="7"/>
  <c r="K68" i="7"/>
  <c r="H69" i="7"/>
  <c r="K69" i="7"/>
  <c r="I240" i="1" s="1"/>
  <c r="H70" i="7"/>
  <c r="K70" i="7"/>
  <c r="H71" i="7"/>
  <c r="K71" i="7"/>
  <c r="K73" i="7"/>
  <c r="H243" i="1" s="1"/>
  <c r="J74" i="7"/>
  <c r="K74" i="7"/>
  <c r="J75" i="7"/>
  <c r="K75" i="7"/>
  <c r="H21" i="6"/>
  <c r="K21" i="6"/>
  <c r="H22" i="6"/>
  <c r="K22" i="6"/>
  <c r="I144" i="1" s="1"/>
  <c r="H23" i="6"/>
  <c r="K23" i="6"/>
  <c r="H24" i="6"/>
  <c r="K24" i="6"/>
  <c r="H25" i="6"/>
  <c r="K25" i="6"/>
  <c r="I147" i="1" s="1"/>
  <c r="H26" i="6"/>
  <c r="K26" i="6"/>
  <c r="I148" i="1" s="1"/>
  <c r="H27" i="6"/>
  <c r="K27" i="6"/>
  <c r="I149" i="1" s="1"/>
  <c r="H28" i="6"/>
  <c r="K28" i="6"/>
  <c r="I150" i="1" s="1"/>
  <c r="H29" i="6"/>
  <c r="K29" i="6"/>
  <c r="I151" i="1" s="1"/>
  <c r="H30" i="6"/>
  <c r="K30" i="6"/>
  <c r="H31" i="6"/>
  <c r="H32" i="6"/>
  <c r="H33" i="6"/>
  <c r="K33" i="6"/>
  <c r="H34" i="6"/>
  <c r="K34" i="6"/>
  <c r="I156" i="1" s="1"/>
  <c r="H35" i="6"/>
  <c r="K35" i="6"/>
  <c r="H36" i="6"/>
  <c r="K36" i="6"/>
  <c r="I158" i="1" s="1"/>
  <c r="H37" i="6"/>
  <c r="K37" i="6"/>
  <c r="H38" i="6"/>
  <c r="K38" i="6"/>
  <c r="I160" i="1" s="1"/>
  <c r="H39" i="6"/>
  <c r="K39" i="6"/>
  <c r="H40" i="6"/>
  <c r="K40" i="6"/>
  <c r="I162" i="1" s="1"/>
  <c r="H41" i="6"/>
  <c r="K41" i="6"/>
  <c r="H42" i="6"/>
  <c r="K42" i="6"/>
  <c r="I164" i="1" s="1"/>
  <c r="H43" i="6"/>
  <c r="K43" i="6"/>
  <c r="H44" i="6"/>
  <c r="K44" i="6"/>
  <c r="I166" i="1" s="1"/>
  <c r="H45" i="6"/>
  <c r="K45" i="6"/>
  <c r="H46" i="6"/>
  <c r="K46" i="6"/>
  <c r="I168" i="1" s="1"/>
  <c r="H47" i="6"/>
  <c r="K52" i="6"/>
  <c r="H56" i="6"/>
  <c r="K56" i="6"/>
  <c r="I176" i="1" s="1"/>
  <c r="H57" i="6"/>
  <c r="K57" i="6"/>
  <c r="I177" i="1" s="1"/>
  <c r="H58" i="6"/>
  <c r="K58" i="6"/>
  <c r="I178" i="1" s="1"/>
  <c r="H59" i="6"/>
  <c r="K59" i="6"/>
  <c r="I179" i="1" s="1"/>
  <c r="H60" i="6"/>
  <c r="K60" i="6"/>
  <c r="I180" i="1" s="1"/>
  <c r="H61" i="6"/>
  <c r="K61" i="6"/>
  <c r="I181" i="1" s="1"/>
  <c r="H62" i="6"/>
  <c r="K62" i="6"/>
  <c r="I182" i="1" s="1"/>
  <c r="H63" i="6"/>
  <c r="K63" i="6"/>
  <c r="I183" i="1" s="1"/>
  <c r="H64" i="6"/>
  <c r="H65" i="6"/>
  <c r="K65" i="6"/>
  <c r="H66" i="6"/>
  <c r="K66" i="6"/>
  <c r="I186" i="1" s="1"/>
  <c r="H67" i="6"/>
  <c r="K67" i="6"/>
  <c r="H68" i="6"/>
  <c r="K68" i="6"/>
  <c r="I188" i="1" s="1"/>
  <c r="H69" i="6"/>
  <c r="K69" i="6"/>
  <c r="I189" i="1" s="1"/>
  <c r="H70" i="6"/>
  <c r="K70" i="6"/>
  <c r="I190" i="1" s="1"/>
  <c r="H71" i="6"/>
  <c r="K71" i="6"/>
  <c r="H72" i="6"/>
  <c r="K72" i="6"/>
  <c r="I192" i="1" s="1"/>
  <c r="H73" i="6"/>
  <c r="K73" i="6"/>
  <c r="H74" i="6"/>
  <c r="K74" i="6"/>
  <c r="I194" i="1" s="1"/>
  <c r="H75" i="6"/>
  <c r="K75" i="6"/>
  <c r="I195" i="1" s="1"/>
  <c r="H76" i="6"/>
  <c r="K76" i="6"/>
  <c r="I196" i="1" s="1"/>
  <c r="H77" i="6"/>
  <c r="K82" i="6"/>
  <c r="F83" i="6"/>
  <c r="F84" i="6"/>
  <c r="F52" i="6"/>
  <c r="F53" i="6"/>
  <c r="F54" i="6"/>
  <c r="F82" i="6"/>
  <c r="F85" i="6"/>
  <c r="D13" i="6"/>
  <c r="D14" i="6"/>
  <c r="F89" i="5"/>
  <c r="F90" i="5"/>
  <c r="F91" i="5"/>
  <c r="F92" i="5"/>
  <c r="D13" i="5"/>
  <c r="I48" i="5"/>
  <c r="I47" i="5"/>
  <c r="I74" i="5"/>
  <c r="I77" i="5"/>
  <c r="I75" i="5"/>
  <c r="I34" i="6"/>
  <c r="I66" i="6"/>
  <c r="I68" i="6"/>
  <c r="I36" i="6"/>
  <c r="I40" i="5"/>
  <c r="F73" i="7"/>
  <c r="F74" i="7"/>
  <c r="F75" i="7"/>
  <c r="F76" i="7"/>
  <c r="F63" i="7"/>
  <c r="F64" i="7"/>
  <c r="F56" i="7"/>
  <c r="F57" i="7"/>
  <c r="F58" i="7"/>
  <c r="F59" i="7"/>
  <c r="F24" i="7"/>
  <c r="F25" i="7"/>
  <c r="F26" i="7"/>
  <c r="F27" i="7"/>
  <c r="F28" i="7"/>
  <c r="F29" i="7"/>
  <c r="F30" i="7"/>
  <c r="F31" i="7"/>
  <c r="F44" i="7"/>
  <c r="F45" i="7"/>
  <c r="F46" i="7"/>
  <c r="F47" i="7"/>
  <c r="D13" i="7"/>
  <c r="D14" i="7"/>
  <c r="D15" i="7"/>
  <c r="D16" i="7"/>
  <c r="D17" i="7"/>
  <c r="D14" i="5"/>
  <c r="D15" i="5"/>
  <c r="H107" i="4"/>
  <c r="K107" i="4"/>
  <c r="H69" i="4"/>
  <c r="K69" i="4"/>
  <c r="H70" i="4"/>
  <c r="K70" i="4"/>
  <c r="K103" i="4" s="1"/>
  <c r="K16" i="4" s="1"/>
  <c r="H71" i="4"/>
  <c r="K71" i="4"/>
  <c r="H72" i="4"/>
  <c r="K72" i="4"/>
  <c r="I50" i="1" s="1"/>
  <c r="H73" i="4"/>
  <c r="K73" i="4"/>
  <c r="I51" i="1" s="1"/>
  <c r="H75" i="4"/>
  <c r="K75" i="4"/>
  <c r="H77" i="4"/>
  <c r="K77" i="4"/>
  <c r="H78" i="4"/>
  <c r="K78" i="4"/>
  <c r="H79" i="4"/>
  <c r="K79" i="4"/>
  <c r="H80" i="4"/>
  <c r="K80" i="4"/>
  <c r="I56" i="1" s="1"/>
  <c r="H82" i="4"/>
  <c r="K82" i="4"/>
  <c r="I57" i="1" s="1"/>
  <c r="H83" i="4"/>
  <c r="K83" i="4"/>
  <c r="H84" i="4"/>
  <c r="K84" i="4"/>
  <c r="H85" i="4"/>
  <c r="K85" i="4"/>
  <c r="H86" i="4"/>
  <c r="K86" i="4"/>
  <c r="H87" i="4"/>
  <c r="K87" i="4"/>
  <c r="I62" i="1" s="1"/>
  <c r="H88" i="4"/>
  <c r="K88" i="4"/>
  <c r="I63" i="1" s="1"/>
  <c r="H89" i="4"/>
  <c r="K89" i="4"/>
  <c r="H90" i="4"/>
  <c r="K90" i="4"/>
  <c r="H91" i="4"/>
  <c r="K91" i="4"/>
  <c r="H92" i="4"/>
  <c r="K92" i="4"/>
  <c r="H94" i="4"/>
  <c r="K94" i="4"/>
  <c r="I68" i="1" s="1"/>
  <c r="H95" i="4"/>
  <c r="K95" i="4"/>
  <c r="I69" i="1" s="1"/>
  <c r="H96" i="4"/>
  <c r="K96" i="4"/>
  <c r="H97" i="4"/>
  <c r="K97" i="4"/>
  <c r="H99" i="4"/>
  <c r="K99" i="4"/>
  <c r="J101" i="4"/>
  <c r="H101" i="4"/>
  <c r="K101" i="4"/>
  <c r="J102" i="4"/>
  <c r="H102" i="4"/>
  <c r="K102" i="4"/>
  <c r="H58" i="4"/>
  <c r="K58" i="4"/>
  <c r="H59" i="4"/>
  <c r="K59" i="4"/>
  <c r="H60" i="4"/>
  <c r="K60" i="4"/>
  <c r="H61" i="4"/>
  <c r="K61" i="4"/>
  <c r="J63" i="4"/>
  <c r="H63" i="4"/>
  <c r="K63" i="4"/>
  <c r="J64" i="4"/>
  <c r="H64" i="4"/>
  <c r="K64" i="4"/>
  <c r="K65" i="4"/>
  <c r="K15" i="4" s="1"/>
  <c r="H36" i="4"/>
  <c r="K36" i="4"/>
  <c r="K54" i="4" s="1"/>
  <c r="K14" i="4" s="1"/>
  <c r="H37" i="4"/>
  <c r="K37" i="4"/>
  <c r="H38" i="4"/>
  <c r="K38" i="4"/>
  <c r="I24" i="1" s="1"/>
  <c r="H39" i="4"/>
  <c r="K39" i="4"/>
  <c r="I25" i="1" s="1"/>
  <c r="H40" i="4"/>
  <c r="K40" i="4"/>
  <c r="H41" i="4"/>
  <c r="K41" i="4"/>
  <c r="H42" i="4"/>
  <c r="K42" i="4"/>
  <c r="I28" i="1" s="1"/>
  <c r="H43" i="4"/>
  <c r="K43" i="4"/>
  <c r="H44" i="4"/>
  <c r="K44" i="4"/>
  <c r="I30" i="1" s="1"/>
  <c r="H45" i="4"/>
  <c r="K45" i="4"/>
  <c r="I31" i="1" s="1"/>
  <c r="H46" i="4"/>
  <c r="K46" i="4"/>
  <c r="H47" i="4"/>
  <c r="K47" i="4"/>
  <c r="H48" i="4"/>
  <c r="K48" i="4"/>
  <c r="H49" i="4"/>
  <c r="K49" i="4"/>
  <c r="H50" i="4"/>
  <c r="K50" i="4"/>
  <c r="I36" i="1" s="1"/>
  <c r="J52" i="4"/>
  <c r="H52" i="4"/>
  <c r="K52" i="4"/>
  <c r="J53" i="4"/>
  <c r="H53" i="4"/>
  <c r="K53" i="4"/>
  <c r="H26" i="4"/>
  <c r="K26" i="4"/>
  <c r="K32" i="4" s="1"/>
  <c r="K13" i="4" s="1"/>
  <c r="H27" i="4"/>
  <c r="K27" i="4"/>
  <c r="I16" i="1" s="1"/>
  <c r="H28" i="4"/>
  <c r="K28" i="4"/>
  <c r="H29" i="4"/>
  <c r="K29" i="4"/>
  <c r="I18" i="1" s="1"/>
  <c r="H30" i="4"/>
  <c r="K30" i="4"/>
  <c r="H31" i="4"/>
  <c r="K31" i="4"/>
  <c r="C48" i="1"/>
  <c r="H48" i="1"/>
  <c r="I48" i="1"/>
  <c r="C49" i="1"/>
  <c r="H49" i="1"/>
  <c r="I49" i="1"/>
  <c r="C50" i="1"/>
  <c r="H50" i="1"/>
  <c r="C51" i="1"/>
  <c r="H51" i="1"/>
  <c r="C52" i="1"/>
  <c r="H52" i="1"/>
  <c r="I52" i="1"/>
  <c r="C53" i="1"/>
  <c r="H53" i="1"/>
  <c r="I53" i="1"/>
  <c r="C54" i="1"/>
  <c r="H54" i="1"/>
  <c r="I54" i="1"/>
  <c r="C55" i="1"/>
  <c r="H55" i="1"/>
  <c r="I55" i="1"/>
  <c r="C56" i="1"/>
  <c r="H56" i="1"/>
  <c r="C57" i="1"/>
  <c r="H57" i="1"/>
  <c r="C58" i="1"/>
  <c r="H58" i="1"/>
  <c r="I58" i="1"/>
  <c r="C59" i="1"/>
  <c r="H59" i="1"/>
  <c r="I59" i="1"/>
  <c r="C60" i="1"/>
  <c r="H60" i="1"/>
  <c r="I60" i="1"/>
  <c r="C61" i="1"/>
  <c r="H61" i="1"/>
  <c r="I61" i="1"/>
  <c r="C62" i="1"/>
  <c r="H62" i="1"/>
  <c r="C63" i="1"/>
  <c r="H63" i="1"/>
  <c r="C64" i="1"/>
  <c r="H64" i="1"/>
  <c r="I64" i="1"/>
  <c r="C65" i="1"/>
  <c r="H65" i="1"/>
  <c r="I65" i="1"/>
  <c r="C66" i="1"/>
  <c r="H66" i="1"/>
  <c r="I66" i="1"/>
  <c r="C67" i="1"/>
  <c r="H67" i="1"/>
  <c r="I67" i="1"/>
  <c r="C68" i="1"/>
  <c r="H68" i="1"/>
  <c r="C69" i="1"/>
  <c r="H69" i="1"/>
  <c r="C70" i="1"/>
  <c r="H70" i="1"/>
  <c r="I70" i="1"/>
  <c r="C71" i="1"/>
  <c r="H71" i="1"/>
  <c r="I71" i="1"/>
  <c r="C72" i="1"/>
  <c r="H72" i="1"/>
  <c r="I72" i="1"/>
  <c r="C73" i="1"/>
  <c r="H73" i="1"/>
  <c r="I73" i="1"/>
  <c r="C74" i="1"/>
  <c r="H74" i="1"/>
  <c r="I74" i="1"/>
  <c r="C240" i="1"/>
  <c r="H240" i="1"/>
  <c r="C241" i="1"/>
  <c r="H241" i="1"/>
  <c r="I241" i="1"/>
  <c r="C242" i="1"/>
  <c r="H242" i="1"/>
  <c r="I242" i="1"/>
  <c r="I26" i="7"/>
  <c r="I27" i="7"/>
  <c r="I25" i="7"/>
  <c r="I28" i="7"/>
  <c r="I29" i="7"/>
  <c r="I30" i="7"/>
  <c r="I31" i="7"/>
  <c r="I32" i="7"/>
  <c r="I33" i="7"/>
  <c r="I34" i="7"/>
  <c r="I35" i="7"/>
  <c r="I36" i="7"/>
  <c r="I37" i="7"/>
  <c r="I38" i="7"/>
  <c r="I39" i="7"/>
  <c r="I40" i="7"/>
  <c r="I42" i="7"/>
  <c r="I56" i="6"/>
  <c r="I57" i="6"/>
  <c r="I58" i="6"/>
  <c r="I59" i="6"/>
  <c r="I60" i="6"/>
  <c r="I61" i="6"/>
  <c r="I62" i="6"/>
  <c r="I63" i="6"/>
  <c r="I99" i="4"/>
  <c r="H100" i="4"/>
  <c r="I101" i="4"/>
  <c r="I102" i="4"/>
  <c r="C206" i="1"/>
  <c r="H206" i="1"/>
  <c r="C76" i="1"/>
  <c r="H76" i="1"/>
  <c r="I76" i="1"/>
  <c r="C45" i="1"/>
  <c r="H45" i="1"/>
  <c r="I45" i="1"/>
  <c r="C43" i="1"/>
  <c r="H43" i="1"/>
  <c r="I43" i="1"/>
  <c r="C44" i="1"/>
  <c r="H44" i="1"/>
  <c r="I44" i="1"/>
  <c r="C42" i="1"/>
  <c r="H42" i="1"/>
  <c r="I42" i="1"/>
  <c r="I17" i="1"/>
  <c r="I19" i="1"/>
  <c r="I20" i="1"/>
  <c r="H16" i="1"/>
  <c r="H17" i="1"/>
  <c r="H18" i="1"/>
  <c r="H19" i="1"/>
  <c r="H20" i="1"/>
  <c r="C16" i="1"/>
  <c r="C17" i="1"/>
  <c r="C18" i="1"/>
  <c r="C19" i="1"/>
  <c r="C20" i="1"/>
  <c r="I64" i="4"/>
  <c r="I63" i="4"/>
  <c r="H62" i="4"/>
  <c r="I94" i="4"/>
  <c r="I92" i="4"/>
  <c r="I91" i="4"/>
  <c r="I90" i="4"/>
  <c r="I89" i="4"/>
  <c r="I88" i="4"/>
  <c r="I87" i="4"/>
  <c r="I86" i="4"/>
  <c r="I85" i="4"/>
  <c r="I84" i="4"/>
  <c r="I83" i="4"/>
  <c r="I82" i="4"/>
  <c r="H81" i="4"/>
  <c r="I79" i="4"/>
  <c r="I78" i="4"/>
  <c r="I77" i="4"/>
  <c r="I55" i="5"/>
  <c r="I54" i="5"/>
  <c r="I70" i="4"/>
  <c r="I68" i="7"/>
  <c r="I70" i="7"/>
  <c r="I71" i="7"/>
  <c r="I69" i="7"/>
  <c r="I63" i="7"/>
  <c r="I56" i="7"/>
  <c r="I58" i="7"/>
  <c r="I57" i="7"/>
  <c r="I52" i="7"/>
  <c r="I51" i="7"/>
  <c r="I45" i="7"/>
  <c r="I46" i="7"/>
  <c r="I24" i="7"/>
  <c r="I73" i="6"/>
  <c r="I43" i="6"/>
  <c r="F87" i="6"/>
  <c r="I70" i="6"/>
  <c r="I64" i="6"/>
  <c r="I65" i="6"/>
  <c r="I67" i="6"/>
  <c r="I69" i="6"/>
  <c r="I71" i="6"/>
  <c r="I72" i="6"/>
  <c r="I74" i="6"/>
  <c r="I75" i="6"/>
  <c r="I76" i="6"/>
  <c r="I77" i="6"/>
  <c r="I90" i="5"/>
  <c r="I91" i="5"/>
  <c r="I81" i="5"/>
  <c r="I82" i="5"/>
  <c r="I83" i="5"/>
  <c r="I84" i="5"/>
  <c r="I73" i="5"/>
  <c r="I76" i="5"/>
  <c r="I78" i="5"/>
  <c r="I66" i="5"/>
  <c r="I67" i="5"/>
  <c r="I68" i="5"/>
  <c r="I69" i="5"/>
  <c r="I70" i="5"/>
  <c r="I45" i="5"/>
  <c r="I46" i="5"/>
  <c r="I50" i="5"/>
  <c r="I51" i="5"/>
  <c r="I53" i="5"/>
  <c r="I56" i="5"/>
  <c r="I37" i="5"/>
  <c r="I38" i="5"/>
  <c r="I39" i="5"/>
  <c r="I42" i="5"/>
  <c r="I34" i="5"/>
  <c r="I30" i="5"/>
  <c r="I32" i="5"/>
  <c r="I44" i="5"/>
  <c r="I21" i="6"/>
  <c r="I22" i="6"/>
  <c r="I23" i="6"/>
  <c r="I24" i="6"/>
  <c r="I25" i="6"/>
  <c r="I26" i="6"/>
  <c r="I27" i="6"/>
  <c r="I28" i="6"/>
  <c r="I29" i="6"/>
  <c r="I30" i="6"/>
  <c r="I31" i="6"/>
  <c r="I32" i="6"/>
  <c r="I33" i="6"/>
  <c r="I35" i="6"/>
  <c r="I37" i="6"/>
  <c r="I38" i="6"/>
  <c r="I39" i="6"/>
  <c r="I40" i="6"/>
  <c r="I41" i="6"/>
  <c r="I42" i="6"/>
  <c r="I44" i="6"/>
  <c r="I45" i="6"/>
  <c r="I46" i="6"/>
  <c r="I47" i="6"/>
  <c r="I22" i="1"/>
  <c r="I23" i="1"/>
  <c r="I26" i="1"/>
  <c r="I27" i="1"/>
  <c r="I29" i="1"/>
  <c r="I32" i="1"/>
  <c r="I33" i="1"/>
  <c r="I34" i="1"/>
  <c r="I35" i="1"/>
  <c r="I37" i="1"/>
  <c r="I38" i="1"/>
  <c r="I40" i="1"/>
  <c r="I41" i="1"/>
  <c r="I47" i="1"/>
  <c r="I143" i="1"/>
  <c r="I229" i="1"/>
  <c r="I237" i="1"/>
  <c r="I239" i="1"/>
  <c r="I243" i="1"/>
  <c r="I244" i="1"/>
  <c r="I245" i="1"/>
  <c r="C17" i="4"/>
  <c r="J17" i="4"/>
  <c r="F119" i="4"/>
  <c r="I116" i="4"/>
  <c r="I115" i="4"/>
  <c r="H114" i="4"/>
  <c r="H112" i="4"/>
  <c r="H109" i="4"/>
  <c r="I108" i="4"/>
  <c r="I107" i="4"/>
  <c r="J106" i="4"/>
  <c r="H105" i="4"/>
  <c r="I60" i="4"/>
  <c r="I29" i="4"/>
  <c r="I30" i="4"/>
  <c r="H229" i="1"/>
  <c r="H239" i="1"/>
  <c r="H237" i="1"/>
  <c r="H143" i="1"/>
  <c r="H47" i="1"/>
  <c r="H41" i="1"/>
  <c r="H40" i="1"/>
  <c r="H38" i="1"/>
  <c r="H37" i="1"/>
  <c r="H23" i="1"/>
  <c r="H24" i="1"/>
  <c r="H25" i="1"/>
  <c r="H26" i="1"/>
  <c r="H27" i="1"/>
  <c r="H28" i="1"/>
  <c r="H29" i="1"/>
  <c r="H30" i="1"/>
  <c r="H31" i="1"/>
  <c r="H32" i="1"/>
  <c r="H33" i="1"/>
  <c r="H34" i="1"/>
  <c r="H35" i="1"/>
  <c r="H36" i="1"/>
  <c r="H22" i="1"/>
  <c r="H15" i="1"/>
  <c r="H244" i="1"/>
  <c r="H245" i="1"/>
  <c r="H74" i="4"/>
  <c r="C229" i="1"/>
  <c r="C237" i="1"/>
  <c r="C239" i="1"/>
  <c r="C243" i="1"/>
  <c r="C244" i="1"/>
  <c r="C245" i="1"/>
  <c r="C143" i="1"/>
  <c r="C22" i="1"/>
  <c r="C23" i="1"/>
  <c r="C24" i="1"/>
  <c r="C25" i="1"/>
  <c r="C26" i="1"/>
  <c r="C27" i="1"/>
  <c r="C28" i="1"/>
  <c r="C29" i="1"/>
  <c r="C30" i="1"/>
  <c r="C31" i="1"/>
  <c r="C32" i="1"/>
  <c r="C33" i="1"/>
  <c r="C34" i="1"/>
  <c r="C35" i="1"/>
  <c r="C36" i="1"/>
  <c r="C37" i="1"/>
  <c r="C38" i="1"/>
  <c r="C40" i="1"/>
  <c r="C41" i="1"/>
  <c r="C47" i="1"/>
  <c r="C15" i="1"/>
  <c r="I75" i="7"/>
  <c r="I74" i="7"/>
  <c r="I73" i="7"/>
  <c r="H72" i="7"/>
  <c r="J67" i="7"/>
  <c r="H66" i="7"/>
  <c r="K62" i="7"/>
  <c r="J62" i="7"/>
  <c r="H61" i="7"/>
  <c r="H55" i="7"/>
  <c r="J50" i="7"/>
  <c r="H49" i="7"/>
  <c r="I44" i="7"/>
  <c r="H43" i="7"/>
  <c r="H23" i="7"/>
  <c r="K22" i="7"/>
  <c r="J22" i="7"/>
  <c r="H21" i="7"/>
  <c r="C16" i="7"/>
  <c r="J16" i="7"/>
  <c r="C15" i="7"/>
  <c r="J15" i="7"/>
  <c r="C14" i="7"/>
  <c r="J14" i="7"/>
  <c r="C13" i="7"/>
  <c r="J13" i="7"/>
  <c r="I84" i="6"/>
  <c r="I83" i="6"/>
  <c r="I82" i="6"/>
  <c r="H81" i="6"/>
  <c r="H55" i="6"/>
  <c r="I54" i="6"/>
  <c r="I53" i="6"/>
  <c r="I52" i="6"/>
  <c r="H51" i="6"/>
  <c r="H20" i="6"/>
  <c r="K19" i="6"/>
  <c r="J19" i="6"/>
  <c r="H18" i="6"/>
  <c r="J14" i="6"/>
  <c r="C13" i="6"/>
  <c r="J13" i="6"/>
  <c r="K12" i="6"/>
  <c r="J12" i="6"/>
  <c r="I89" i="5"/>
  <c r="K88" i="5"/>
  <c r="J88" i="5"/>
  <c r="H87" i="5"/>
  <c r="I80" i="5"/>
  <c r="H79" i="5"/>
  <c r="I72" i="5"/>
  <c r="H71" i="5"/>
  <c r="H65" i="5"/>
  <c r="H64" i="5"/>
  <c r="H63" i="5"/>
  <c r="H43" i="5"/>
  <c r="I36" i="5"/>
  <c r="H35" i="5"/>
  <c r="H33" i="5"/>
  <c r="I29" i="5"/>
  <c r="H28" i="5"/>
  <c r="I27" i="5"/>
  <c r="H26" i="5"/>
  <c r="K20" i="5"/>
  <c r="J20" i="5"/>
  <c r="H20" i="5"/>
  <c r="H19" i="5"/>
  <c r="J15" i="5"/>
  <c r="C14" i="5"/>
  <c r="J14" i="5"/>
  <c r="C13" i="5"/>
  <c r="J13" i="5"/>
  <c r="K12" i="5"/>
  <c r="H119" i="4"/>
  <c r="H98" i="4"/>
  <c r="I97" i="4"/>
  <c r="I96" i="4"/>
  <c r="I95" i="4"/>
  <c r="H93" i="4"/>
  <c r="I80" i="4"/>
  <c r="H76" i="4"/>
  <c r="I75" i="4"/>
  <c r="I73" i="4"/>
  <c r="I72" i="4"/>
  <c r="I71" i="4"/>
  <c r="I69" i="4"/>
  <c r="J68" i="4"/>
  <c r="H67" i="4"/>
  <c r="I61" i="4"/>
  <c r="I59" i="4"/>
  <c r="I58" i="4"/>
  <c r="J57" i="4"/>
  <c r="H56" i="4"/>
  <c r="I53" i="4"/>
  <c r="I52" i="4"/>
  <c r="H51" i="4"/>
  <c r="I50" i="4"/>
  <c r="I49" i="4"/>
  <c r="I48" i="4"/>
  <c r="I47" i="4"/>
  <c r="I46" i="4"/>
  <c r="I45" i="4"/>
  <c r="I44" i="4"/>
  <c r="I43" i="4"/>
  <c r="I42" i="4"/>
  <c r="I41" i="4"/>
  <c r="I40" i="4"/>
  <c r="I39" i="4"/>
  <c r="I38" i="4"/>
  <c r="I37" i="4"/>
  <c r="I36" i="4"/>
  <c r="J35" i="4"/>
  <c r="H34" i="4"/>
  <c r="I31" i="4"/>
  <c r="I27" i="4"/>
  <c r="I26" i="4"/>
  <c r="H25" i="4"/>
  <c r="K23" i="4"/>
  <c r="J23" i="4"/>
  <c r="H22" i="4"/>
  <c r="C16" i="4"/>
  <c r="J16" i="4"/>
  <c r="C15" i="4"/>
  <c r="J15" i="4"/>
  <c r="C14" i="4"/>
  <c r="J14" i="4"/>
  <c r="C13" i="4"/>
  <c r="J13" i="4"/>
  <c r="C14" i="1"/>
  <c r="F94" i="5"/>
  <c r="F7" i="1"/>
  <c r="F78" i="7"/>
  <c r="D7" i="1"/>
  <c r="D8" i="1"/>
  <c r="I85" i="1" l="1"/>
  <c r="K76" i="7"/>
  <c r="K16" i="7" s="1"/>
  <c r="K59" i="7"/>
  <c r="K14" i="7" s="1"/>
  <c r="K47" i="7"/>
  <c r="K13" i="7" s="1"/>
  <c r="I145" i="1"/>
  <c r="J83" i="6"/>
  <c r="J84" i="6"/>
  <c r="K15" i="5"/>
  <c r="K94" i="5" s="1"/>
  <c r="K117" i="4"/>
  <c r="K17" i="4" s="1"/>
  <c r="K18" i="4" s="1"/>
  <c r="K119" i="4" s="1"/>
  <c r="I15" i="1"/>
  <c r="K17" i="7" l="1"/>
  <c r="K78" i="7" s="1"/>
  <c r="H203" i="1"/>
  <c r="K84" i="6"/>
  <c r="I203" i="1" s="1"/>
  <c r="H202" i="1"/>
  <c r="K83" i="6"/>
  <c r="I202" i="1" l="1"/>
  <c r="H6" i="1" s="1"/>
  <c r="K85" i="6"/>
  <c r="K13" i="6" l="1"/>
  <c r="K14" i="6" s="1"/>
  <c r="K87" i="6"/>
  <c r="H4" i="1"/>
  <c r="H7" i="1"/>
  <c r="H8" i="1" s="1"/>
  <c r="H5" i="1"/>
  <c r="H3" i="1" l="1"/>
</calcChain>
</file>

<file path=xl/sharedStrings.xml><?xml version="1.0" encoding="utf-8"?>
<sst xmlns="http://schemas.openxmlformats.org/spreadsheetml/2006/main" count="1356" uniqueCount="641">
  <si>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</si>
  <si>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</si>
  <si>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</si>
  <si>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</si>
  <si>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</si>
  <si>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</si>
  <si>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</si>
  <si>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</si>
  <si>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</si>
  <si>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</si>
  <si>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</si>
  <si>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</si>
  <si>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</si>
  <si>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</si>
  <si>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</si>
  <si>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</si>
  <si>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</si>
  <si>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</si>
  <si>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</si>
  <si>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</si>
  <si>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</si>
  <si>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</si>
  <si>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</si>
  <si>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</si>
  <si>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</si>
  <si>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</si>
  <si>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</si>
  <si>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</si>
  <si>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</si>
  <si>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T1</t>
  </si>
  <si>
    <t>1.1</t>
  </si>
  <si>
    <t>UC01</t>
  </si>
  <si>
    <t>UC02</t>
  </si>
  <si>
    <t>ud</t>
  </si>
  <si>
    <t>UC03</t>
  </si>
  <si>
    <t>UC04</t>
  </si>
  <si>
    <t>1.2</t>
  </si>
  <si>
    <t>DESMONTAJE E INFRAESTRUCTURA</t>
  </si>
  <si>
    <t>UC01.1</t>
  </si>
  <si>
    <t>UC01.2</t>
  </si>
  <si>
    <t>UC01.3</t>
  </si>
  <si>
    <t>UC01.4</t>
  </si>
  <si>
    <t>CENTRO CONTROL</t>
  </si>
  <si>
    <t>UC02.1</t>
  </si>
  <si>
    <t>UC02.2</t>
  </si>
  <si>
    <t>1.3</t>
  </si>
  <si>
    <t>ACCESO VEHICULAR</t>
  </si>
  <si>
    <t>UC03.1</t>
  </si>
  <si>
    <t>1.4</t>
  </si>
  <si>
    <t>PERIMETRAL</t>
  </si>
  <si>
    <t>UC04.1</t>
  </si>
  <si>
    <t>Canalización subterránea enterrada bajo tierra y/o jardín, en zanja de 40 cm de ancho y 60 cm de profundidad de dimensiones mínimas, para canalización de líneas eléctricas en baja tensión. Incluye apertura y excavación de la zanja por medios mecánicos, formación de cuna de arena de río de 5 cm de espesor, colocación de los tubos, relleno de costados y tapado de tubos con arena de río, colocación de cinta de señalización, y relleno de zanja y compactado con las tierras procedentes de la excavación, hasta el nivel base del pavimento (solera, acera, etc). Totalmente terminada; i/p.p. de limpieza y medios auxiliares. Pavimento incluido.</t>
  </si>
  <si>
    <t>METRO de MADRID</t>
  </si>
  <si>
    <t>OFERTA</t>
  </si>
  <si>
    <t>CONCEPTO</t>
  </si>
  <si>
    <t>Subtotal</t>
  </si>
  <si>
    <t>TOTALES</t>
  </si>
  <si>
    <t>*Campos a rellenar</t>
  </si>
  <si>
    <t>1.- Desmontaje</t>
  </si>
  <si>
    <t>Cantidad</t>
  </si>
  <si>
    <t>Descripción</t>
  </si>
  <si>
    <t>Referencia 
(modelo o similar)</t>
  </si>
  <si>
    <t>P/U</t>
  </si>
  <si>
    <t>TOTAL</t>
  </si>
  <si>
    <t>Partida de desmontaje de equipos en Zona de Obra</t>
  </si>
  <si>
    <t>DESMONT_CAM</t>
  </si>
  <si>
    <t>DESMONT_ARM</t>
  </si>
  <si>
    <t>ml</t>
  </si>
  <si>
    <t>Partida de mano de obra para desmontaje de tubo de acero en pared</t>
  </si>
  <si>
    <t>DESMONT_TUB</t>
  </si>
  <si>
    <t>Partida de mano de obra para desmontaje de cajas en pared</t>
  </si>
  <si>
    <t>DESMONT_CAJ</t>
  </si>
  <si>
    <t xml:space="preserve">Total . . . . . . . </t>
  </si>
  <si>
    <t>2.- Instalación de la Infraestructura</t>
  </si>
  <si>
    <t>Canalización subterránea enterrada bajo acera, hormigón, asfalto en zona de tráfico, en zanja de 40 cm de ancho y 60 cm de profundidad de dimensiones mínimas, para canalización de líneas eléctricas en baja tensión. Incluye apertura y excavación de la zanja por medios mecánicos, formación de cuna de arena de río de 5 cm de espesor, colocación de los tubos, relleno de costados y tapado de tubos con arena de río, colocación de cinta de señalización, y relleno de zanja y compactado con las tierras procedentes de la excavación, hasta el nivel base del pavimento (solera, acera, etc). Totalmente terminada; i/p.p. de limpieza y medios auxiliares. Pavimento incluido.</t>
  </si>
  <si>
    <t>ZANJA_H</t>
  </si>
  <si>
    <t>ZANJA_T</t>
  </si>
  <si>
    <t>TUBO_PE</t>
  </si>
  <si>
    <t>TUBOAC32</t>
  </si>
  <si>
    <t>E19TAC100</t>
  </si>
  <si>
    <t xml:space="preserve">Conexionado de las canalizaciones exteriores a los armarios </t>
  </si>
  <si>
    <t>CNX_ARM</t>
  </si>
  <si>
    <t>Zapata de hormigón de 1000X1000X1000mm Hormigón armado Ciment. Zapatas  HA-25/B/20/IIa Vert. Manual Excavación pozoa a máquina terrenos compactos c/transporte &gt;20 km Placa anclaje S275 300x300x20 mm 1,000 42,17 42,17</t>
  </si>
  <si>
    <t>E04ZAM010
E02PMA150
E05AP020</t>
  </si>
  <si>
    <t>INST_BAC_ABA</t>
  </si>
  <si>
    <t>ANC_BAC</t>
  </si>
  <si>
    <t xml:space="preserve">Báculo fijo CCTV de 4m. Fabricado en tubo de acero de 152mm de diametro. Galvanizado en caliente. </t>
  </si>
  <si>
    <t>BAC_FI-152-4-4</t>
  </si>
  <si>
    <t>Instalación de báculo de 4m</t>
  </si>
  <si>
    <t>INST_BAC</t>
  </si>
  <si>
    <t>Pernos de anclaje para báculo fijo de 4m
4 perno M-16 S-275
8 tuerca M-16
8 arandela plana M-16
4 arandela grower M-16</t>
  </si>
  <si>
    <t>Suministro e instalación de armario mural de fibra exterior H800xW600xD300mm (AlxAnxP) con protección IP66, IK10. Para soportación en poste, pared o suelo, incluye soportación o peana de ladrillo en suelos terrosos. Placa de montaje, carril din y protecciones electricas (Bornero Trifásico, Magnetotérmico General, diferencial, magnetotérmico switch, magnetotérmico ventilador, magnetotérmico reserva, magnetotérmico enchufe y enchufe schuko), termostato, FA para termostato, ventilación forzada, cierre por candado unificado. Incluye canal perimetral tipo phoenix contact de 40mm. Incluyendo el Suministro y montaje de bandeja organizadora de empalmes y/o terminación de F.O. con capacidad para terminar en conectores hasta 16 fibras (bandeja de conectorización) o capacidad para empalmar fibras de paso hasta 48 fibras.</t>
  </si>
  <si>
    <t>AM80x60x40</t>
  </si>
  <si>
    <t>Fabricación de peana de sustentación en ladrillo para armario de fibra exterior en suelo, tierra o pavimento.</t>
  </si>
  <si>
    <t>PEANA</t>
  </si>
  <si>
    <t>Partidas auxiliares</t>
  </si>
  <si>
    <t>Partida alzada ayudas auxiliares en equipamiento y mano de obra de instalaciones</t>
  </si>
  <si>
    <t>OB_INST_AUX</t>
  </si>
  <si>
    <t>Partida alzada ayudas auxiliares en equipamiento y mano de obra de obra civil o albañilería</t>
  </si>
  <si>
    <t>OB_AUX</t>
  </si>
  <si>
    <t>3.- Instalación y certificación de cableados</t>
  </si>
  <si>
    <t xml:space="preserve">Suministro e instalación de manguera de FTP CAT6A o superior CAT7 de exterior con cubierta de PE protección UV, malla-chapa antiroedor, CPR, 4 pares trenzados, bindaje independiente por par y blindaje común a los 4 pares, pp. Conexionado y certificación </t>
  </si>
  <si>
    <t>C_FTP</t>
  </si>
  <si>
    <t xml:space="preserve">Suministro e instalación de manguera de fibra óptica de exterior con cubierta de PE protección UV, malla-chapa antiroedor, CPR, 4 FO SM, de tipo OS3 pp. Conexionado fusiones y certificación </t>
  </si>
  <si>
    <t>C_FO</t>
  </si>
  <si>
    <t xml:space="preserve">Suministro e instalación de manguera de fibra óptica de exterior con cubierta de PE protección UV, malla-chapa antiroedor, CPR, 48 FO SM, de tipo OS3 pp. Conexionado fusiones y certificación </t>
  </si>
  <si>
    <t>4.- Instalación eléctrica</t>
  </si>
  <si>
    <t>Suministro e instalación de manguera exterior RZ1-K 5x25mm
Suministro e instalación de cable de cobre multipolar de 5G25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</si>
  <si>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C_ELE_5X25</t>
  </si>
  <si>
    <t>C_ELE_5X16</t>
  </si>
  <si>
    <t>Suministro e instalación de manguera exterior RZ1-K 3x6mm
Suministro e instalación de cable de cobre multipolar de 3G6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</si>
  <si>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C_ELE_3X6</t>
  </si>
  <si>
    <t>Suministro e instalación de manguera exterior RZ1-K 3x2,5mm
Suministro e instalación de cable de cobre multipolar de 3G2,5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</si>
  <si>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C_ELE_3X2,5</t>
  </si>
  <si>
    <t>CGBT</t>
  </si>
  <si>
    <t>Interruptor automático de 4x80 A. curva C. Suministro e instalación de Interruptor automático magnetotérmico de 4 x 80 A tipo NG125N, 4P, 80 A, C curva, 25 kA (IEC 60947-2), de Schneider ó similar aprobado. Totalmente cableado y en funcionamiento.</t>
  </si>
  <si>
    <t>AUT_4X80A</t>
  </si>
  <si>
    <t>Cuadro General Centro de Control</t>
  </si>
  <si>
    <t>AUT_4X63A</t>
  </si>
  <si>
    <t>AUT_4X50A</t>
  </si>
  <si>
    <t>DIF_4X63</t>
  </si>
  <si>
    <t>Cuadro Secundario Cuarto de Comunicaciones Centro de Control</t>
  </si>
  <si>
    <t>Envolvente PrismaSeT S 24 módulos 4 Filas superfície, 4 carriles y 4 tapas para los módulos. Cofre PACK 160 Gama Prisma plus de superficie 4 filas, alto 1080 mm para 24 módulos MARCA SCHNEIDER ELECTRIC, 4 carriles y 4 tapas para los módulos. Armario mural.</t>
  </si>
  <si>
    <t>PRISMA_24</t>
  </si>
  <si>
    <t>Interruptor automático de 4x40 A. curva C. Suministro e instalación de Interruptor automático magnetotérmico de 4 x 40 A tipo C60N, de Schneider ó similar aprobado. Totalmente cableado y en funcionamiento.</t>
  </si>
  <si>
    <t>AUT_4X40A</t>
  </si>
  <si>
    <t>Interruptor automático de 4x32 A. curva C. Suministro e instalación de Interruptor automático magnetotérmico de 4 x 32 A tipo C60N, de Schneider ó similar aprobado. Totalmente cableado y en funcionamiento.</t>
  </si>
  <si>
    <t>AUT_4X32A</t>
  </si>
  <si>
    <t>Interruptor diferencial 4x40 A. 300 mA. Clase AC. Suministro e instalación de Interruptor diferencial de 4x40 A, 300 mA. Clase AC, tipo iID de Schndeider o similar aprobado.</t>
  </si>
  <si>
    <t>Interruptor automático de 2x20 A.curva C. Interruptor automático magnetotérmico de 2 x 20 A tipo C60N, de Schneider ó similar aprobado.</t>
  </si>
  <si>
    <t>AUT_2X20A</t>
  </si>
  <si>
    <t>Interruptor automático de 2x16 A.curva C. Interruptor automático magnetotérmico de 2 x 16 A tipo C60N, de Schneider ó similar aprobado.</t>
  </si>
  <si>
    <t>AUT_2X16A</t>
  </si>
  <si>
    <t>Interruptor automático de 2x10 A.curva C. Interruptor automático magnetotérmico de 2 x 10 A tipo C60N, de Schneider ó similar aprobado.</t>
  </si>
  <si>
    <t>AUT_2X10A</t>
  </si>
  <si>
    <t>Interruptor diferencial 2x25 A. 300 mA. Clase AC. Suministro e instalación de Interruptor diferencial de 2x25 A, 300 mA. Clase AC, tipo iID de Schndeider o similar aprobado. Totalmente cableado y funcionando.</t>
  </si>
  <si>
    <t>DIF_2X25_300</t>
  </si>
  <si>
    <t>Interruptor diferencial 2x25 A. 30 mA. Clase AC. Suministro e instalación de Interruptor diferencial de 2x25 A, 30 mA. Clase AC, tipo iID de Schndeider o similar aprobado. Totalmente cableado y funcionando.</t>
  </si>
  <si>
    <t>DIF_2X25_30</t>
  </si>
  <si>
    <t>Documentación y legalización de la instalación eléctrica</t>
  </si>
  <si>
    <t>Legalización de la modificacion de la instalación eléctrica
Legalización de la modificacion realizada en la instalación eléctrica, incluyendo Memoria Técnica de Diseño, verificaciones necesarias, tasas, impuestos y cualquier otro gasto necesario hasta la obtención del Certificado de Instalación eléctrica en Baja Tensión, así como la tramitación del expediente por la DGIEM.</t>
  </si>
  <si>
    <t>I31VX001PC</t>
  </si>
  <si>
    <t>IMPORTE NETO</t>
  </si>
  <si>
    <t>1.- Centralización (Hardware y Software)</t>
  </si>
  <si>
    <t>Software de VMS</t>
  </si>
  <si>
    <t xml:space="preserve">Conexión al directorio de Federación Security Center 4.0 (o superior). </t>
  </si>
  <si>
    <t>GSC-1SCFED</t>
  </si>
  <si>
    <t>Conexión de cámara Profesional</t>
  </si>
  <si>
    <t>Software de Lectura de matriculas</t>
  </si>
  <si>
    <t>1 conexión de lector SharpV para reconocimiento de matrículas como credencial</t>
  </si>
  <si>
    <t>Armario de llaves Traka o similar</t>
  </si>
  <si>
    <t xml:space="preserve">Armario de llaves Traka Touch máx 6 Llaveros - Negro Llavero CAN 10 pos.Touch Bloqueado (c/Led-c/botón) Módulo activación de liberación de emergencia (1U), Incluye 50 Sellados de seguridad Traka, etiquetas numeradas, sistema TrakaWeb PRO PLUS, integración lector, instalación y transporte. Serie S Traka Touch PRO - máx 6 Llaveros - Negro - Llavero CAN 10 pos.Touch Bloqueado (c/Led-c/Botón) - Sellados de seguridad Traka (mínimo 10) - Negros
</t>
  </si>
  <si>
    <t>TRK-S</t>
  </si>
  <si>
    <t xml:space="preserve">1 TRAKA Key Management por armario.  Requiere 1 GSC-1P-KeyCabinetBase por sistema GSC para la gestión de KeyCabinets. </t>
  </si>
  <si>
    <t>GSC-1PTRAKA</t>
  </si>
  <si>
    <t xml:space="preserve">1 Plugin base de Asset Management.  Requiere de licencias adicionales de armario. </t>
  </si>
  <si>
    <t>GSC-1P-KeyCabinetBase</t>
  </si>
  <si>
    <t>Lector Mifare Desfire EV3 compatible con EV2 y EV1 ARC 1- Secure Architect® One Mullion - Protocolo OSDP - Interfaz RS485 - Conector enchufable/desconectable Cable de 3 m - Color: Negro</t>
  </si>
  <si>
    <t>Latiguillo de 4 pares RJ45-RJ45 de Categoría 6a sin apantallar diseño UTP para transmisión de datos hasta 1Gigabit Ethernet, diámetro de 6 mm, cubierta libre de halógenos LSZH.Manguito especial transparente, estrecho y pestaña "anti-enganches"</t>
  </si>
  <si>
    <t>Lat6a</t>
  </si>
  <si>
    <t>Hardware Centro de Control</t>
  </si>
  <si>
    <t>Switch Layer 2+ 24 puertos Gigabit Ethernet cobre PoE+ y 4 SPF Gigabit (384W)</t>
  </si>
  <si>
    <t>SG3428MP</t>
  </si>
  <si>
    <t>Conmutador administrado JetStream de 24 puertos SFP L2+ con 4 ranuras 10GE SFP+</t>
  </si>
  <si>
    <t>SG3428XF</t>
  </si>
  <si>
    <t>Módulo transceptor de fibra óptica 10Gbps SFP+ 10km (-40~75 grados C) MTB-TLR 10000 Mbit/s Single Mode. Un solo conector SC.</t>
  </si>
  <si>
    <t>SFP+MTB_TLR</t>
  </si>
  <si>
    <t>Sistema modular con teclado y joystick independientes. Solución completa módulos para la gestión de cámara y vídeo.</t>
  </si>
  <si>
    <t>TU9001</t>
  </si>
  <si>
    <t>Terminal Grandstream para atención a videoporteros GXV3350 Teléfono multimedia IP de 16 líneas, con pantalla táctil capacitiva de 5” sistema operativo Android 7,0, Cámara inclinable CMOS de 1M, agrega dos puertos Gigabit con PoE/PoE+, Wi-Fi doble banda y Bluetooth integrado, Altavoz HD de micrófono dual con reducción de ruido.</t>
  </si>
  <si>
    <t>GXV-3350</t>
  </si>
  <si>
    <t>Software Gestión de Alarmas</t>
  </si>
  <si>
    <t>LICENCIA PUESTOS CLIENTES</t>
  </si>
  <si>
    <t>Software de conexión a sistema de Gestión de Alarmas</t>
  </si>
  <si>
    <t>Licencia de conexión de panel de intrusión</t>
  </si>
  <si>
    <t>GSC-1AP-CDC3-HW</t>
  </si>
  <si>
    <t xml:space="preserve">Licencia por Lidar conectado. Conexión de sensor de seguimiento de corto alcance para Vigilancia del Área de Seguridad. Disponible con  Paquetes empresariales. Base de Vigilancia del Área de Seguridad Restringida. </t>
  </si>
  <si>
    <t xml:space="preserve">GSC-GAP-RSA-1SRS </t>
  </si>
  <si>
    <t>Integración de Axis Perimeter Defender/AOA</t>
  </si>
  <si>
    <t>GSC-1SDK-Perimdefend</t>
  </si>
  <si>
    <t>Licencia AXIS PERIMETER DEFENDER</t>
  </si>
  <si>
    <t>PER-DEF</t>
  </si>
  <si>
    <t>Alta y configuracion abonado en CRA propia de Metro de Madrid.</t>
  </si>
  <si>
    <t>PAPMU</t>
  </si>
  <si>
    <t>Hardware sistema de Gestión de Alarmas</t>
  </si>
  <si>
    <t>RIO</t>
  </si>
  <si>
    <t>CAJON2U</t>
  </si>
  <si>
    <t>Conexión abonado a CRA de MdM</t>
  </si>
  <si>
    <t>Conex_CRA</t>
  </si>
  <si>
    <t>LICENCIAS DE SOPORTE DE CONEXIÓN 3 AÑOS</t>
  </si>
  <si>
    <t>Soporte 3 años por lector conectado</t>
  </si>
  <si>
    <t>ADV-RDR-E-3Y</t>
  </si>
  <si>
    <t>Soporte 3 años por cámara conectada</t>
  </si>
  <si>
    <t>ADV-CAM-E-3Y</t>
  </si>
  <si>
    <t>Soporte 3 años por interfono conectado</t>
  </si>
  <si>
    <t>ADV-SIP-3Y</t>
  </si>
  <si>
    <t>Soporte 3 años por cámara LRP conectada</t>
  </si>
  <si>
    <t>ADV-LPR-F-3Y</t>
  </si>
  <si>
    <t>Soporte 3 años por panel de intrusión conectado</t>
  </si>
  <si>
    <t>ADV-1AP-3Y</t>
  </si>
  <si>
    <t>2.- Ingeniería y Puesta en Marcha</t>
  </si>
  <si>
    <t xml:space="preserve">Partida alzada para configuración, pruebas y puesta en marcha. Partida de integración de todas las funcionalidades incluidas en el proyecto: control de acceso, detección de intrusión, cámaras de CCTV, videoporteros y demas componentes del proyecto en el sistema de gestión centralizada. Asimismo se incluyen todos los elementos gráficos necesarios (planos, iconos) para facilitar la operatividad del sistema. </t>
  </si>
  <si>
    <t>PCPPM</t>
  </si>
  <si>
    <t>Partida alzada para documentación proyecto global as-built</t>
  </si>
  <si>
    <t>PDAB</t>
  </si>
  <si>
    <t>Partida para cursos de formación proyecto global al cliente</t>
  </si>
  <si>
    <t>PCFOR</t>
  </si>
  <si>
    <t xml:space="preserve">1.- Acceso Vehicular </t>
  </si>
  <si>
    <t>ENTRADA DE VEHICULOS</t>
  </si>
  <si>
    <t>OP/VEH/828</t>
  </si>
  <si>
    <t xml:space="preserve">OP/VEH/136 </t>
  </si>
  <si>
    <t>Báculo altura mixta (doble altura) para turismos y camiones construido en acero inox. AISI-316,incluye  mecanizado para alojar 2 lectores estándar y 2 videoporteros.</t>
  </si>
  <si>
    <t>BT-10</t>
  </si>
  <si>
    <t>Videoportero Antivandalico Ip 2N Helios Force con camara HD,protocolo SIP, 2 canales de voz, 2 micrófonos incorporados, altavoz de 10W. Sistema de cancelación de eco y un boton de llamada, incluye caja de empotrar.</t>
  </si>
  <si>
    <t>9151101CHW</t>
  </si>
  <si>
    <t>Licencia Gold para Videoportero de interior IP 2N Helios Vario o similar. Para integrar video en VMS</t>
  </si>
  <si>
    <t>LIC_9137111CU</t>
  </si>
  <si>
    <t>Synergis™ Cloud Link with 4GB of RAM, 16GB Flash, de segunda generación second, incluye firmware Synergis™ access control , para cuatro puertos RS-485, PoE.</t>
  </si>
  <si>
    <t>SY-CLOUDLINK.G2</t>
  </si>
  <si>
    <t>Controlador inteligente Mercury, basado en Linux, 8 entradas/4 salidas/2 entradas (se incluyen 2 conexiones de licencia de lector)</t>
  </si>
  <si>
    <t>Batería: Capacidad: 7.2Ah, Tensión Nominal: 12V, Dimensiones: 151 x 65 x 97.5mm, Aplicaciones: Ideal para usar en SAIs/UPC, sistemas de seguridad y alarmas, luces de emergencia, etc..., Duración: 3 a 5 años, Tipo de Terminal: Faston F2, Rango de Temperatura de Funcionamiento: -20 → +60°C</t>
  </si>
  <si>
    <t>Batería 12V-7,2Ah</t>
  </si>
  <si>
    <t xml:space="preserve">Fuente alimentación Conmutada 12Vcc/5A, con supervisión de alarma de alimentación y cargador de batería, montaje sobre carril DIN
</t>
  </si>
  <si>
    <t>FA2</t>
  </si>
  <si>
    <t>Kit de cámara AutoVu™ SharpV Negro que incluye: Lentes motorizadas duales SharpV (LPR y Contexto) con iluminador de 850 nm, soporte de montaje y conexión de cámara Sharp (se requiere 24 VCC o PoE++ 802.3bt tipo 3).</t>
  </si>
  <si>
    <t>AU-K-V-WS850-LC-000</t>
  </si>
  <si>
    <t>Partida de Montaje Equipos</t>
  </si>
  <si>
    <t>PMONT</t>
  </si>
  <si>
    <t xml:space="preserve">Partida alzada ayudas auxiliares en equipamiento y mano de obra de instalaciones </t>
  </si>
  <si>
    <t>SALIDA DE VEHICULOS</t>
  </si>
  <si>
    <t>Resalto de plástico, marca 3M o similar, de 2,5 metros de ancho, a instalar en viales de vehículos antes de la barrera de acceso vehicular.</t>
  </si>
  <si>
    <t>RE-30</t>
  </si>
  <si>
    <t>1.- Videovigilancia</t>
  </si>
  <si>
    <t>Cámara PTZ con giro continuo de 360° e iluminación IR integrada (200 M) con zoom óptico de 32x, enfoque automático y recuperación de enfoque. HDTV 1080p a 50 fps (1920 x 1080) en Motion JPEG, H.264, H.265 y Axis Zipstream. Clasificación Día y Noche, IP66, NEMA 4X y NEMA TS2. Ranura para tarjeta SD de tamaño completo.
Calidad de imagen perfecta en todas las direcciones sin distorsión. WDR, EIS, secado rápido. Incluye control de acceso avanzado y análisis. Superficie repintable. Midspan con ranura para fibra y entrada RJ45 incluida.</t>
  </si>
  <si>
    <t>AXIS Q6135-LE 50HZ</t>
  </si>
  <si>
    <t xml:space="preserve">Accesorio montaje báculo Domo. </t>
  </si>
  <si>
    <t>T91B57</t>
  </si>
  <si>
    <t xml:space="preserve">Accesorio montaje Domo. </t>
  </si>
  <si>
    <t>T91B51</t>
  </si>
  <si>
    <t>Accesorio para montaje en báculo y pared de Domo</t>
  </si>
  <si>
    <t>TQ5001-E</t>
  </si>
  <si>
    <t>Cámara domo fija de alto rendimiento con unidad de procesamiento de aprendizaje profundo (DLPU). WDR forense, Lightfinder 2.0 e IR optimizado. Discreta carcasa de exterior resistente al polvo y al vandalismo IK10. Lente varifocal de 3-8 mm P-Iris con zoom y enfoque remotos. Múltiples secuencias configurables individualmente, H.264/H.265 con Zipstream y Motion JPEG. Transmisión de 5 MP en 4:3 hasta 30 fps. Object Analytics, detección de movimiento de video y alarma de manipulación. Audio bidireccional y detección de audio. Entrada digital supervisada/salida digital para manejo de alarmas/eventos. Soporte MQTT. Edge Vault para mayor seguridad cibernética. Interruptor de apertura de caja integrado. Ranura para tarjeta de memoria MicroSD para almacenamiento local. Desarrollado por IEEE 802.3af/802.3at Tipo 1 Clase 3. Rango de temperatura extendido. Incluye soporte de montaje y protección contra la intemperie. IP 66.</t>
  </si>
  <si>
    <t>P3267-LVE</t>
  </si>
  <si>
    <t>T91B47</t>
  </si>
  <si>
    <t>Cámara Multidireccional  Inteligencia Artificial. Dual Sensor, 2 x 2MP@25/30fps, 360º, LEDS IR 25m. Lente varifocal motorizada 3~6mm, WiseNR II, WiseStream III, ExtremeWDR (120dB), Hallway, Detección de Objetos basada en Inteligencia Artificial: Persona, Cara, Vehículo, Matrícula más atributos del vehículo (Coche, Autobus, Moto, Bicicleta, Camión). Analíticas: Línea virtual, Área Virtual/Intrusión, Detección de Movimiento. Desenfoque, Sabotaje. Slot SD 512GB, PoE+. Ciberseguridad: Secure by Default, TPM 2.0 (FIPS 140-2). IP66, NEMA4X, IK10. Compatible con SPM-4210 I/O IP Box para entradas/salidas de alarmas/audio</t>
  </si>
  <si>
    <t>PNM-C7083RVD</t>
  </si>
  <si>
    <t>Adaptador montaje colgante para utilizar con PNM-C7083RVD</t>
  </si>
  <si>
    <t>SBP-215HMW</t>
  </si>
  <si>
    <t>SBP-300WMW1</t>
  </si>
  <si>
    <t>Suministro y montaje de cámara IP térmica de alta sensibilidad para uso exterior con sensor de 384x288, la imagen puede ampliarse hasta 768x576, soporte y adaptador para montaje en báculo.</t>
  </si>
  <si>
    <t>Q1951-E</t>
  </si>
  <si>
    <t xml:space="preserve">Partida de montaje de equipos de videovigilancia perimetral </t>
  </si>
  <si>
    <t>Partida de mano de obra para montaje de equipos perimetral</t>
  </si>
  <si>
    <t>MONT</t>
  </si>
  <si>
    <t>2.- Lidar</t>
  </si>
  <si>
    <t>Sensor LiDAR 20x20m 95º y cámara IR</t>
  </si>
  <si>
    <t>RLS-2020V</t>
  </si>
  <si>
    <t>Adaptador montaje para RLS-2020A/V</t>
  </si>
  <si>
    <t>RLS-PB2</t>
  </si>
  <si>
    <t>Detector de cortina láser</t>
  </si>
  <si>
    <t>LAC-1</t>
  </si>
  <si>
    <t>Partida de montaje de equipos lidar</t>
  </si>
  <si>
    <t>Partida de mano de obra para montaje de equipos lidar</t>
  </si>
  <si>
    <t>3.- Configuración de analítica de vídeo</t>
  </si>
  <si>
    <t>CONF_AV_CAM_LID</t>
  </si>
  <si>
    <t>4.- Electrónica de Red</t>
  </si>
  <si>
    <t>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t>
  </si>
  <si>
    <t>IGS-5225-8P2S2X</t>
  </si>
  <si>
    <t>Fuente de alimentación de carril DIN de 48 V, 480 W salida de CC ajustable de 48-56 V (-20 ~ 70 grados C)</t>
  </si>
  <si>
    <t>NDR 480-48</t>
  </si>
  <si>
    <t>Partida de montaje de armarios y cableados</t>
  </si>
  <si>
    <t>Partida de mano de obra para montaje de equipos perimetrales</t>
  </si>
  <si>
    <t>CAT6A</t>
  </si>
  <si>
    <t>Suministro e instalación de cable RS-485 para lectora 2x2x0,35,  malla-chapa antiroedor, incluida parte proporcional de conexionado.</t>
  </si>
  <si>
    <t>CableLector</t>
  </si>
  <si>
    <t>m</t>
  </si>
  <si>
    <t>Suministro e instalación de tubo acero indicado para instalaciones exteriores de enlace y acometidas, de diámetro 32 mm, Instalado en superficie sobre paramentos mediante soportes de tipo abrazadera separados cada 50 cm como máximo. Totalmente montado; i/p.p. de anclajes y accesorios.</t>
  </si>
  <si>
    <t>UC01.1.1</t>
  </si>
  <si>
    <t>UC01.1.2</t>
  </si>
  <si>
    <t>UC01.1.3</t>
  </si>
  <si>
    <t>UC01.1.4</t>
  </si>
  <si>
    <t>UC01.1.5</t>
  </si>
  <si>
    <t>1.1.2</t>
  </si>
  <si>
    <t>1.1.1</t>
  </si>
  <si>
    <t>UC01.2.1</t>
  </si>
  <si>
    <t>UC01.2.4</t>
  </si>
  <si>
    <t>UC01.3.1</t>
  </si>
  <si>
    <t>UC01.2.2</t>
  </si>
  <si>
    <t>UC01.2.3</t>
  </si>
  <si>
    <t>UC01.2.5</t>
  </si>
  <si>
    <t>UC01.2.6</t>
  </si>
  <si>
    <t>UC01.2.7</t>
  </si>
  <si>
    <t>UC01.2.8</t>
  </si>
  <si>
    <t>UC01.2.9</t>
  </si>
  <si>
    <t>UC01.2.10</t>
  </si>
  <si>
    <t>UC01.2.11</t>
  </si>
  <si>
    <t>UC01.2.12</t>
  </si>
  <si>
    <t>UC01.2.13</t>
  </si>
  <si>
    <t>UC01.2.15</t>
  </si>
  <si>
    <t>UC01.2.16</t>
  </si>
  <si>
    <t>UC01.2.17</t>
  </si>
  <si>
    <t>UC01.3.2</t>
  </si>
  <si>
    <t>UC01.3.3</t>
  </si>
  <si>
    <t>UC01.4.1</t>
  </si>
  <si>
    <t>UC01.4.2</t>
  </si>
  <si>
    <t>UC01.4.3</t>
  </si>
  <si>
    <t>UC01.4.4</t>
  </si>
  <si>
    <t>UC01.4.7</t>
  </si>
  <si>
    <t>UC01.4.5</t>
  </si>
  <si>
    <t>UC01.4.9</t>
  </si>
  <si>
    <t>UC01.4.10</t>
  </si>
  <si>
    <t>UC01.4.11</t>
  </si>
  <si>
    <t>UC01.4.12</t>
  </si>
  <si>
    <t>UC01.4.14</t>
  </si>
  <si>
    <t>UC01.4.15</t>
  </si>
  <si>
    <t>UC01.4.16</t>
  </si>
  <si>
    <t>UC01.4.17</t>
  </si>
  <si>
    <t>UC01.4.18</t>
  </si>
  <si>
    <t>UC01.4.19</t>
  </si>
  <si>
    <t>UC01.4.20</t>
  </si>
  <si>
    <t>1.1.3</t>
  </si>
  <si>
    <t>1.1.4</t>
  </si>
  <si>
    <t>UC02.1.1</t>
  </si>
  <si>
    <t>UC02.1.2</t>
  </si>
  <si>
    <t>UC02.1.4</t>
  </si>
  <si>
    <t>UC02.1.6</t>
  </si>
  <si>
    <t>UC02.1.9</t>
  </si>
  <si>
    <t>UC02.1.10</t>
  </si>
  <si>
    <t>UC02.1.13</t>
  </si>
  <si>
    <t>UC02.1.14</t>
  </si>
  <si>
    <t>UC02.1.16</t>
  </si>
  <si>
    <t>UC02.1.17</t>
  </si>
  <si>
    <t>UC02.1.18</t>
  </si>
  <si>
    <t>UC02.1.20</t>
  </si>
  <si>
    <t>UC02.1.21</t>
  </si>
  <si>
    <t>UC02.1.22</t>
  </si>
  <si>
    <t>UC02.1.24</t>
  </si>
  <si>
    <t>UC02.1.25</t>
  </si>
  <si>
    <t>UC02.1.26</t>
  </si>
  <si>
    <t>UC02.1.27</t>
  </si>
  <si>
    <t>UC02.1.28</t>
  </si>
  <si>
    <t>UC02.1.29</t>
  </si>
  <si>
    <t>UC02.1.30</t>
  </si>
  <si>
    <t>UC02.1.31</t>
  </si>
  <si>
    <t>UC02.1.32</t>
  </si>
  <si>
    <t>UC02.1.36</t>
  </si>
  <si>
    <t>UC02.2.1</t>
  </si>
  <si>
    <t>UC02.2.2</t>
  </si>
  <si>
    <t>UC02.2.3</t>
  </si>
  <si>
    <t>1.2.1</t>
  </si>
  <si>
    <t>1.2.2</t>
  </si>
  <si>
    <t>1.3.1</t>
  </si>
  <si>
    <t>UC03.1.1</t>
  </si>
  <si>
    <t>UC03.1.2</t>
  </si>
  <si>
    <t>UC03.1.3</t>
  </si>
  <si>
    <t>UC03.1.4</t>
  </si>
  <si>
    <t>UC03.1.5</t>
  </si>
  <si>
    <t>UC03.1.6</t>
  </si>
  <si>
    <t>UC03.1.7</t>
  </si>
  <si>
    <t>UC03.1.8</t>
  </si>
  <si>
    <t>UC03.1.9</t>
  </si>
  <si>
    <t>UC03.1.10</t>
  </si>
  <si>
    <t>UC03.1.11</t>
  </si>
  <si>
    <t>UC03.1.12</t>
  </si>
  <si>
    <t>UC03.1.13</t>
  </si>
  <si>
    <t>UC03.1.14</t>
  </si>
  <si>
    <t>UC03.1.19</t>
  </si>
  <si>
    <t>UC03.1.20</t>
  </si>
  <si>
    <t>UC03.1.21</t>
  </si>
  <si>
    <t>UC03.1.25</t>
  </si>
  <si>
    <t>UC03.1.26</t>
  </si>
  <si>
    <t>UC03.1.27</t>
  </si>
  <si>
    <t>UC03.1.29</t>
  </si>
  <si>
    <t>UC03.1.30</t>
  </si>
  <si>
    <t>UC03.1.32</t>
  </si>
  <si>
    <t>UC03.1.33</t>
  </si>
  <si>
    <t>UC03.1.34</t>
  </si>
  <si>
    <t>UC03.1.35</t>
  </si>
  <si>
    <t>UC03.1.36</t>
  </si>
  <si>
    <t>UC03.1.37</t>
  </si>
  <si>
    <t>UC03.1.38</t>
  </si>
  <si>
    <t>UC03.1.39</t>
  </si>
  <si>
    <t>UC03.1.40</t>
  </si>
  <si>
    <t>UC03.1.41</t>
  </si>
  <si>
    <t>UC04.1.1</t>
  </si>
  <si>
    <t>1.4.1</t>
  </si>
  <si>
    <t>UC04.1.2</t>
  </si>
  <si>
    <t>UC04.1.4</t>
  </si>
  <si>
    <t>UC04.1.5</t>
  </si>
  <si>
    <t>UC04.1.6</t>
  </si>
  <si>
    <t>UC04.1.7</t>
  </si>
  <si>
    <t>UC04.1.8</t>
  </si>
  <si>
    <t>UC04.1.9</t>
  </si>
  <si>
    <t>UC04.1.10</t>
  </si>
  <si>
    <t>UC04.1.11</t>
  </si>
  <si>
    <t>UC04.1.12</t>
  </si>
  <si>
    <t>UC04.1.13</t>
  </si>
  <si>
    <t>UC04.1.14</t>
  </si>
  <si>
    <t>UC04.1.15</t>
  </si>
  <si>
    <t>UC04.1.16</t>
  </si>
  <si>
    <t>UC4.2</t>
  </si>
  <si>
    <t>1.4.2</t>
  </si>
  <si>
    <t>UC4.2.1</t>
  </si>
  <si>
    <t>UC4.2.2</t>
  </si>
  <si>
    <t>UC4.2.3</t>
  </si>
  <si>
    <t>UC4.2.4</t>
  </si>
  <si>
    <t>UC4.2.5</t>
  </si>
  <si>
    <t>UC4.2.6</t>
  </si>
  <si>
    <t>UC4.3</t>
  </si>
  <si>
    <t>UC4.3.1</t>
  </si>
  <si>
    <t>UC4.4</t>
  </si>
  <si>
    <t>UC4.4.1</t>
  </si>
  <si>
    <t>1.4.3</t>
  </si>
  <si>
    <t>1.4.4</t>
  </si>
  <si>
    <t>UC4.4.2</t>
  </si>
  <si>
    <t>UC4.4.3</t>
  </si>
  <si>
    <t>UC4.4.4</t>
  </si>
  <si>
    <t>UC4.4.5</t>
  </si>
  <si>
    <t>UC4.4.6</t>
  </si>
  <si>
    <t>Partida de mano de obra para Montaje equipos salida</t>
  </si>
  <si>
    <t>RENOVACIÓN DE LOS SISTEMAS DE SEGURIDAD EN EL RECINTO DE CUATRO VIENTOS</t>
  </si>
  <si>
    <t>PRESUPUESTO DESMONTAJE ELEMENTOS RECINTO DE CUATRO VIENTOS</t>
  </si>
  <si>
    <t>PRESUPUESTO CENTRO DE CONTROL RECINTO DE CUATRO VIENTOS</t>
  </si>
  <si>
    <t>PRESUPUESTO ACCESO VEHICULAR RECINTO DE CUATRO VIENTOS</t>
  </si>
  <si>
    <t>PRESUPUESTO SEGURIDAD PERIMETAL RECINTO DE CUATRO VIENTOS</t>
  </si>
  <si>
    <t>Partida de mano de obra para desmontaje equipos centro control</t>
  </si>
  <si>
    <t>DESMONT_CCON</t>
  </si>
  <si>
    <r>
      <t xml:space="preserve">DESMONTAJE DE ELEMENTOS DE VÍDEO, CANALIZACIONES Y REGISTROS:
Desmontaje de cámaras interiores: </t>
    </r>
    <r>
      <rPr>
        <sz val="10"/>
        <rFont val="Arial"/>
        <family val="2"/>
      </rPr>
      <t>C01 a C16.</t>
    </r>
    <r>
      <rPr>
        <b/>
        <sz val="10"/>
        <rFont val="Arial"/>
        <family val="2"/>
      </rPr>
      <t xml:space="preserve">
Desmontaje de cámaras de perímetro: </t>
    </r>
    <r>
      <rPr>
        <sz val="10"/>
        <rFont val="Arial"/>
        <family val="2"/>
      </rPr>
      <t xml:space="preserve">C01 a C60 excepto C15, 25,  50, 51, 52, 53, 56.
</t>
    </r>
    <r>
      <rPr>
        <b/>
        <sz val="10"/>
        <rFont val="Arial"/>
        <family val="2"/>
      </rPr>
      <t xml:space="preserve">Desmontaje de soportes de cámaras fijas: </t>
    </r>
    <r>
      <rPr>
        <sz val="10"/>
        <rFont val="Arial"/>
        <family val="2"/>
      </rPr>
      <t>C01 a C60 excepto C15, 25,  50, 51, 52, 53, 56.</t>
    </r>
    <r>
      <rPr>
        <b/>
        <sz val="10"/>
        <rFont val="Arial"/>
        <family val="2"/>
      </rPr>
      <t xml:space="preserve">
Desmontaje de Armarios de perímetro: </t>
    </r>
    <r>
      <rPr>
        <sz val="10"/>
        <rFont val="Arial"/>
        <family val="2"/>
      </rPr>
      <t xml:space="preserve">AE01 a AE20, 
</t>
    </r>
    <r>
      <rPr>
        <b/>
        <sz val="10"/>
        <rFont val="Arial"/>
        <family val="2"/>
      </rPr>
      <t xml:space="preserve">Desmontaje de canalización de tubo de acero y cajas: </t>
    </r>
    <r>
      <rPr>
        <sz val="10"/>
        <rFont val="Arial"/>
        <family val="2"/>
      </rPr>
      <t xml:space="preserve">20 cajas y 500 metros lineales de tubo de acero de 32mm
</t>
    </r>
    <r>
      <rPr>
        <b/>
        <sz val="10"/>
        <rFont val="Arial"/>
        <family val="2"/>
      </rPr>
      <t>Desmontaje de 10 báculos abatibles de 4 metros</t>
    </r>
  </si>
  <si>
    <t>Partida de mano de obra para desmontaje de báculo fijo</t>
  </si>
  <si>
    <t>DESMONT_BAC</t>
  </si>
  <si>
    <t>Canalización de tubo flexible de polietileno de alta densidad (PEAD)
de doble pared, no propagador de la llama, indicado para instalaciones de enlace y acometidas, de diámetro 63 mm; fabricado conforme a UNE-EN 61386-1, UNE-EN 61386-2-2 y UNE-EN 61386-2-4, con resistencia a compresión de 320 N. Instalado en zanja. Totalmente montado; i/p.p. de anclajes, cajas y accesorios.
Conforme a REBT: ITC-BT-11, ITC-BT-17, ITC-BT-21 e ITC-BT-28.</t>
  </si>
  <si>
    <t xml:space="preserve">Arqueta de paso en canalización externa enterrada pefabricada de
hormigón de 400x400x400 mm de medidas interiores, colocada sobre solera de hormigón en masa HM-20 de 10 cm de espesor, incluso p.p. de formación de agujeros para conexionado de tubos, medios auxiliares así como excavación en terreno compacto, relleno lateral posterior y transporte de tierras sobrantes a vertedero. Incluida mano de obra para apertura de canalización existente y conectado de canalizaciones con arqueta. Totalmente terminado, según RD 346/2011.
</t>
  </si>
  <si>
    <t xml:space="preserve">Báculo abatible CCTV de 6m. Fabricado en tubo de acero de 152mm de diametro. Galvanizado en caliente. </t>
  </si>
  <si>
    <t>Pernos de anclaje para báculo abatible de 6m. 
4 perno M-16 S-275
8 tuerca M-16
8 arandela plana M-16
4 arandela grower M-16</t>
  </si>
  <si>
    <t>Instalación de báculo abatible de 6m</t>
  </si>
  <si>
    <t>BAC_ABA-152-4-6</t>
  </si>
  <si>
    <t xml:space="preserve">Suministro e instalación de manguera de fibra óptica de interior con cubierta de PE protección UV, CPR, 12 FO SM, de tipo OS3 pp. Conexionado fusiones y certificación </t>
  </si>
  <si>
    <t>Suministro e instalación de manguera exterior RZ1-K 3x16mm
Suministro e instalación de cable de cobre multipolar de 5G16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</si>
  <si>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5.- Sistema de Alimentación Ininterrumpida</t>
  </si>
  <si>
    <t>C264‑D‑E1</t>
  </si>
  <si>
    <t>Central de Intrusion grado III.Panel certificado EN50131-3:2009 y EN50131-6:2008. Grado Seguridad 3, Clase Ambiental II. Hasta 16 áreas independientes protegidas. Hasta 264 zonas de intrusión (16 zonas en placa).Hasta 32 puertas. Hasta 1000 usuarios de tarjetas por sistema.Hasta 67 programaciones semanales.Admite hasta 16 teclados.Admite teclados táctiles gráficos (2).Registros de eventos de accesos e intrusión (hasta 1000 y 1500 eventos, respectivamente).Admite varias opciones de comunicación (RTB, RDSI, Ethernet). Hasta 32 canales de verificación por audio (función habla-escucha). Solución centralizada de gestión única basada en PC. Protocolo de interconexión mejorado para la integración del sistema. Incluido módulo TCP/IP y batería de emergencia. Incluido teclado</t>
  </si>
  <si>
    <t>E/T229/004</t>
  </si>
  <si>
    <t>Suministro e instalación de dispositivo automático de reenganche del brazo+brazo Protecta de carbono - Lg. 4,5m</t>
  </si>
  <si>
    <t>OP/VEH/028</t>
  </si>
  <si>
    <t>Suministro e instalación de consola para 2 accesos</t>
  </si>
  <si>
    <t>CONS/2P</t>
  </si>
  <si>
    <t>Suministro e instalación de bucle inductivo para la detección - Coche (2x1m / conexión 2m)</t>
  </si>
  <si>
    <t>Suministro e instalación de sensor de presencia en carril - Doble canal</t>
  </si>
  <si>
    <t>OP/VEH/240</t>
  </si>
  <si>
    <t>Radar de detección de vehículos y personas</t>
  </si>
  <si>
    <t>OP/RADAR</t>
  </si>
  <si>
    <t>Suministro e instalación de Interfaz Ethernet (AS1622)</t>
  </si>
  <si>
    <t>OP/VEH/151</t>
  </si>
  <si>
    <t>Suministro e instalación de pantalla a color de interfaz hombre-máquina con teclado de placa lógica AS1620 (AS1621)</t>
  </si>
  <si>
    <t xml:space="preserve">OP/VEH/236 </t>
  </si>
  <si>
    <t>Suministro e instalación de contador totalizador (número de operaciones del vehículo)</t>
  </si>
  <si>
    <t>OP/VEH/156</t>
  </si>
  <si>
    <r>
      <t>Suministro e instalación de semáforos (</t>
    </r>
    <r>
      <rPr>
        <sz val="10"/>
        <rFont val="Aptos Narrow"/>
        <family val="2"/>
      </rPr>
      <t>Ø</t>
    </r>
    <r>
      <rPr>
        <sz val="10"/>
        <rFont val="Arial"/>
        <family val="2"/>
      </rPr>
      <t>200mm) - LEDs rojos/verdes - Fijados en un poste de apoyo en la barrera</t>
    </r>
  </si>
  <si>
    <t>OP/VEH/081</t>
  </si>
  <si>
    <t>SY-MP1502</t>
  </si>
  <si>
    <t>Brazo soporte a muro cámara AutoVu SharpV</t>
  </si>
  <si>
    <t>SoporteCam</t>
  </si>
  <si>
    <t>Partida de mano de obra para Montaje equipos entrada</t>
  </si>
  <si>
    <t xml:space="preserve">Conexionado de la puerta de carruaje de salida al sistema de control de accesos y a la botonera de actuación manual.  </t>
  </si>
  <si>
    <t xml:space="preserve">Conexionado de la puerta de carruaje de entrada al sistema de control de accesos y a la botonera de actuación manual.  </t>
  </si>
  <si>
    <t>CON_PORT_SAL</t>
  </si>
  <si>
    <t>CON_PORT_ENT</t>
  </si>
  <si>
    <t>BRAZO-DOMO-500-GRIS Soporte de 500mm acero galvanizado para instalación de cámara en báculo, pared, vallado de color gris.</t>
  </si>
  <si>
    <t>BRAZO50</t>
  </si>
  <si>
    <t>Soporte a pared para domos de exterior. Blanco</t>
  </si>
  <si>
    <t>P3827-PVE</t>
  </si>
  <si>
    <t>Cámara 180° Panoramic Camera, cobertura de 180°, sin puntos ciegos. Cámara multisensor de 7 MP con una dirección IP
Cobertura de 180° en horizontal y 90° en vertical. Imágenes unidas de manera realista. Compatibilidad con analíticas avanzadas
Enderezamiento del horizonte.</t>
  </si>
  <si>
    <t>P4707-PLVE</t>
  </si>
  <si>
    <t>Cámara Doble óptica Panoramic CameraSensor dual con IR de 360° y deep learning Cámara multidireccional de 2 x 5 MP y con una dirección IP. Soporte para analíticas con deep learning en ambos sensores. Iluminación de infrarrojos de 360°
Zoom de 2,5x. Axis Lightfinder y Forensic WDR</t>
  </si>
  <si>
    <t>T94N02D</t>
  </si>
  <si>
    <t xml:space="preserve">T91B67 </t>
  </si>
  <si>
    <t>AXIS T94N02D Pendant Kit
Uso en interior y exterior. Se adapta a postes, parapetos y esquinas exteriores. Para montaje en soportes con rosca NPS de 1,5".</t>
  </si>
  <si>
    <t xml:space="preserve">AXIS T91B67 Pole Mount. Instalación en poste para cámaras domo fijas. Instalación en poste sólida y segura. Para uso en interiores y en exteriores. Resistente a los impactos para evitar agresiones
Junta de goma que evita las plagas de insectos. Compatible con los kits para montaje colgante de Axis con rosca NPS de 1,5”. </t>
  </si>
  <si>
    <t>T8154</t>
  </si>
  <si>
    <t xml:space="preserve">SFP Midspan 60W. Para instalaciones de red o fibra óptica
Ranura SFP para fibra óptica. Midspan integrado. Compatible con High PoE de 60 W y 60 W IEEE 802.3bt. </t>
  </si>
  <si>
    <t xml:space="preserve">Accesorio para montaje en poste T91B47 para instalaciones en interiores y exteriores, para postes con un diámetro de entre 100 y 410 mm (4"-16"). Incluye 1 par de correas de acero inoxidable de 1450 mm (57") con interfaz de tornillo TX30 para facilitar la instalación. </t>
  </si>
  <si>
    <t>Suministro e instalación de tubo acero indicado para instalaciones
exteriores de enlace y acometidas, de diámetro 32 mm, Instalado en superficie sobre paramentos mediante soportes de tipo abrazadera separados cada 50 cm como máximo. Totalmente montado; i/p.p. de anclajes, cajas de conexión y accesorios de montaje.</t>
  </si>
  <si>
    <r>
      <rPr>
        <b/>
        <sz val="10"/>
        <rFont val="Arial"/>
        <family val="2"/>
      </rPr>
      <t xml:space="preserve">DESMONTAJE DE ELEMENTOS DE VÍDEO, CANALIZACIONES Y REGISTROS:
Desmontaje de cámaras interiores: </t>
    </r>
    <r>
      <rPr>
        <sz val="10"/>
        <rFont val="Arial"/>
        <family val="2"/>
      </rPr>
      <t xml:space="preserve">C01 a C16.
</t>
    </r>
    <r>
      <rPr>
        <b/>
        <sz val="10"/>
        <rFont val="Arial"/>
        <family val="2"/>
      </rPr>
      <t xml:space="preserve">Desmontaje de cámaras de perímetro: </t>
    </r>
    <r>
      <rPr>
        <sz val="10"/>
        <rFont val="Arial"/>
        <family val="2"/>
      </rPr>
      <t xml:space="preserve">C01 a C60 excepto C15, 25,  50, 51, 52, 53, 56.
</t>
    </r>
    <r>
      <rPr>
        <b/>
        <sz val="10"/>
        <rFont val="Arial"/>
        <family val="2"/>
      </rPr>
      <t xml:space="preserve">Desmontaje de soportes de cámaras fijas: </t>
    </r>
    <r>
      <rPr>
        <sz val="10"/>
        <rFont val="Arial"/>
        <family val="2"/>
      </rPr>
      <t xml:space="preserve">C01 a C60 excepto C15, 25,  50, 51, 52, 53, 56.
</t>
    </r>
    <r>
      <rPr>
        <b/>
        <sz val="10"/>
        <rFont val="Arial"/>
        <family val="2"/>
      </rPr>
      <t xml:space="preserve">Desmontaje de Armarios de perímetro: </t>
    </r>
    <r>
      <rPr>
        <sz val="10"/>
        <rFont val="Arial"/>
        <family val="2"/>
      </rPr>
      <t xml:space="preserve">AE01 a AE20, 
</t>
    </r>
    <r>
      <rPr>
        <b/>
        <sz val="10"/>
        <rFont val="Arial"/>
        <family val="2"/>
      </rPr>
      <t xml:space="preserve">Desmontaje de canalización de tubo de acero y cajas: </t>
    </r>
    <r>
      <rPr>
        <sz val="10"/>
        <rFont val="Arial"/>
        <family val="2"/>
      </rPr>
      <t xml:space="preserve">20 cajas y 500 metros lineales de tubo de acero de 32mm
</t>
    </r>
    <r>
      <rPr>
        <b/>
        <sz val="10"/>
        <rFont val="Arial"/>
        <family val="2"/>
      </rPr>
      <t>Desmontaje de 10 báculos abatibles de 4 metros</t>
    </r>
  </si>
  <si>
    <t>Suministro e instalación de manguera exterior RZ1-K 5x16mm
Suministro e instalación de cable de cobre multipolar de 5G16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t>
  </si>
  <si>
    <t>MNT32-4K</t>
  </si>
  <si>
    <t>Monitor LED 32″ Diseñado para videovigilancia 24/7. 
Resolución 4K (3840×2160). Formato 16:9. Entradas: 2xHDMI, 2xDP. Salidas: 1xAudio| 2 Altavoces. Monitor LED 4K 32″. Específico para CCTV. Formato 16:9. Número de colores 16.7 M. Resolución 3840×2160. Brillo 250 cd/m2. Coeficiente de contraste de imagen 3000:1. Tiempo de respuesta 8 ms. Entradas de video 2xHDMI, 2xDP IN, 1xAudio OUT. 2xAltavoces 3W. Sin distorsión en la imagen</t>
  </si>
  <si>
    <t xml:space="preserve">D421E-B </t>
  </si>
  <si>
    <t>Soporte para 4 Monitores 13" a 32" Hasta 32Kg Max VESA 100x100 Negro. Brazo para cuatro monitores de mesa 13 - 32 pulgadas. Cada brazo del soporte para monitor resiste un peso de hasta 8 kg. El soporte para 4 pantallas es compatible con VESA 75x75 - 100x100. Se puede instalar el brazo soporte monitor en el borde de la mesa o a través de un agujero en el tablero.</t>
  </si>
  <si>
    <t>C_ELE_4X6</t>
  </si>
  <si>
    <t>Interruptor automático de 4x50 A. curva C. Suministro e instalación de Interruptor automático magnetotérmico de 4 x 40 A tipo C60N, de Schneider ó similar aprobado. Totalmente cableado y en funcionamiento.</t>
  </si>
  <si>
    <t>Bloque de distribución Schneider Electric LGY412548 para uso con Compact, Kaedra, Pragma, Prisma-G, Prisma-P,</t>
  </si>
  <si>
    <t>REP_4X125A</t>
  </si>
  <si>
    <t>DIF_4X40</t>
  </si>
  <si>
    <t>Interruptor automático de 4x63 A. curva C. Suministro e instalación de Interruptor automático magnetotérmico de 4 x 63 A tipo C60N, de Schneider ó similar aprobado. Totalmente cableado y en funcionamiento.</t>
  </si>
  <si>
    <t>Interruptor diferencial 4x63 A. 300 mA. Clase AC. Suministro e instalación de Interruptor diferencial de 4x63 A, 300 mA. Clase AC, tipo iID de Schndeider o similar aprobado.</t>
  </si>
  <si>
    <t>Cuadro Secundario Cuarto de Comunicaciones</t>
  </si>
  <si>
    <t>Interruptor automático de 2x32 A.curva C. Interruptor automático magnetotérmico de 2 x 32 A tipo C60N, de Schneider ó similar aprobado.</t>
  </si>
  <si>
    <t>AUT_2X32A</t>
  </si>
  <si>
    <t>UC01.1.6</t>
  </si>
  <si>
    <t>UC01.3.4</t>
  </si>
  <si>
    <t>UC01.3.5</t>
  </si>
  <si>
    <t>UC01.3.6</t>
  </si>
  <si>
    <t>UC01.4.21</t>
  </si>
  <si>
    <t>UC01.4.22</t>
  </si>
  <si>
    <t>1.1.5</t>
  </si>
  <si>
    <t>UC01.5.1</t>
  </si>
  <si>
    <t>UC01.5</t>
  </si>
  <si>
    <t>UC01.5.2</t>
  </si>
  <si>
    <t>UC01.5.5</t>
  </si>
  <si>
    <t>UC01.5.6</t>
  </si>
  <si>
    <t>UC01.5.7</t>
  </si>
  <si>
    <t>UC02.1.38</t>
  </si>
  <si>
    <t>UC03.1.15</t>
  </si>
  <si>
    <t>UC03.1.16</t>
  </si>
  <si>
    <t>UC03.1.17</t>
  </si>
  <si>
    <t>UC03.1.18</t>
  </si>
  <si>
    <t>UC03.1.22</t>
  </si>
  <si>
    <t>UC03.1.23</t>
  </si>
  <si>
    <t>UC03.1.24</t>
  </si>
  <si>
    <t>UC03.1.28</t>
  </si>
  <si>
    <t>UC03.1.31</t>
  </si>
  <si>
    <t>UC03.1.42</t>
  </si>
  <si>
    <t>UC03.1.43</t>
  </si>
  <si>
    <t>UC03.1.44</t>
  </si>
  <si>
    <t>UC03.1.45</t>
  </si>
  <si>
    <t>UC03.1.46</t>
  </si>
  <si>
    <t>UC03.1.47</t>
  </si>
  <si>
    <t>UC03.1.48</t>
  </si>
  <si>
    <t>UC03.1.49</t>
  </si>
  <si>
    <t>UC03.1.50</t>
  </si>
  <si>
    <t>UC03.1.51</t>
  </si>
  <si>
    <t>UC03.1.52</t>
  </si>
  <si>
    <t>UC03.1.53</t>
  </si>
  <si>
    <t>UC04.1.3</t>
  </si>
  <si>
    <t>UC04.1.17</t>
  </si>
  <si>
    <t>UC04.1.18</t>
  </si>
  <si>
    <t>UC04.1.19</t>
  </si>
  <si>
    <t>UC04.1.20</t>
  </si>
  <si>
    <t>UC04.1.21</t>
  </si>
  <si>
    <t>UC4.4.7</t>
  </si>
  <si>
    <t>UC01.4.23</t>
  </si>
  <si>
    <t>UC01.4.24</t>
  </si>
  <si>
    <t>UC01.4.26</t>
  </si>
  <si>
    <t>UC01.4.27</t>
  </si>
  <si>
    <t>UC01.4.28</t>
  </si>
  <si>
    <t>SY-ARC1S-W33-BBT1-7OS1</t>
  </si>
  <si>
    <t>Partida de mano de obra para desmontaje de cámaras y cableado</t>
  </si>
  <si>
    <t>Partida de mano de obra para desmontaje de armarios y cableado</t>
  </si>
  <si>
    <t>CAJON3U</t>
  </si>
  <si>
    <t>GSC-SY-E-1S</t>
  </si>
  <si>
    <t xml:space="preserve">Consola control 4 equipos. Barrera Entrada, Barrera Salida, Portón Entrada, Portón Salida.   </t>
  </si>
  <si>
    <t>Suministro e instalación de Barrera elevadora automática de peaje BL229 Toll 4,5m de alta velocidad o similar, pluma reforzada de carbono Protecta con reenganche automático 4,5m, paso libre de hasta 5 metros, tiempo de apertura 0,6 a 1,7 segundos. Protección apertura de cubierta y de puerta - Corte del convertidor de frecuencia. Conexión a botonera de control a dos pulsadores abrir, cerrar y seta de enclavamiento de apertura. Interruptor de llave sobre armazón (Automático / Bloqueado abierto /
Bloqueado cerrado). Bucles de detección para vehículos. Detector de presencia en carril doble Canal. Célula fotoeléctrica (Transmisor / receptor). Poste y montaje de célula fotoeléctrica (H = 0,7 m). Sensor ultrasónico con funda protectora.Pantalla de interfaz HMI con teclas para programar la lógica de control.Interfaz Ethernet.Tarjeta de extensión de las Entradas/Salidas (I/O).Contador totalizador (número de maniobras sin Botón de Reinicio). Semáforo de señalización (Ø 200 mm) de LEDs - Rojo/Verde - Montado en un poste unido a la barrera. Poste para luces de señalización (H: 2,70 m). Tarjeta de gestión de las luces de señalización de terceros.Ventilador para variador de frecuencia. Incluido montaje y desmontaje de la barrera antigua.</t>
  </si>
  <si>
    <t>GSC-OM-E-1C</t>
  </si>
  <si>
    <t>Protección antivandálica para Lector - Junta adhesiva +
tornillos antivandálicos</t>
  </si>
  <si>
    <t>SY-SHIELDARC1-B</t>
  </si>
  <si>
    <t>Conexión a una estación de intercomunicación que incluye conmutación por error y grabación de audio y vídeo bidireccional</t>
  </si>
  <si>
    <t xml:space="preserve">GSC-Sipelia-1SIP </t>
  </si>
  <si>
    <t>RIO_FA</t>
  </si>
  <si>
    <t>Módulo expansor de zonas, para ampliación de la capacidad de entradas de la central de intrusión ofertada. 8 Entradas / 4 Salidas de la serie Galaxy Flex. Incluida fuente de alimentación y batería</t>
  </si>
  <si>
    <t>Módulo expansor de zonas, para ampliación de la capacidad de entradas de la central de intrusión ofertada. 8 Entradas / 4 Salidas de la serie Galaxy Flex.</t>
  </si>
  <si>
    <t>Cajón de Rack (19"), 3U. Instalación en rack de 48,3cm 3U, Acero Recubierto con pintura en polvo en negro, Dimensiones interiores: Ancho: 401mm, Profundidad: 377 mm, Altura: 115mm
Peso: 7,30 kg. Cápacidad de carga máxima: 25 kg</t>
  </si>
  <si>
    <t>PATCHPANNEL24P6A</t>
  </si>
  <si>
    <t>Patch panel rack 24 RJ45 Cat.6A FTP 1U. 
Negro con peine para gestión de cables. Patch Panel de 1U formato rack de 19" para la gestión de conexiones de red en cualquier armario rack.Panel que ofrece 24 puertos RJ45 STP/FTP 568B de categoría 6A, ideal para aplicaciones de alta velocidad. Tamaño: 1U. Compatible con racks de 19". 24 conectores RJ45 STP/FTP. Categoría 6A (CAT.6A). Configuración 568B. Peine en la parte trasera para ordenar los cables y toma de tierra para conexión al armario rack.</t>
  </si>
  <si>
    <t>Cajon19"1U</t>
  </si>
  <si>
    <t xml:space="preserve">Bandeja 19" Extraible de Fibra Óptica para 48 conectores. 
Bandeja para alojamiento de fusiones de fibra óptica con capacidad para alojar hasta 48 fusiones de fibra óptica en su interior. Capacidad de alojamiento hasta 48 conectores. Incluye en la parte frontal 48 conectores enfrentadores tipo SC/APC. Profundidad: 240mm. Ancho: 444mm, 19". Altura: 44mm 1U. Peso: 3kg
</t>
  </si>
  <si>
    <t xml:space="preserve">Cajón de Rack (19"), 2U. Instalación en rack de 48,3cm 2U
Recubierto con pintura en polvo en negro, Dimensiones interiores: Ancho: 401mm, Profundidad: 377 mm, Altura: 90mm Peso: 7,30 kg. Cápacidad de carga máxima: 25 kg
</t>
  </si>
  <si>
    <t>UC02.1.42</t>
  </si>
  <si>
    <t>UC02.1.46</t>
  </si>
  <si>
    <t>UC03.1.54</t>
  </si>
  <si>
    <t>UC03.1.55</t>
  </si>
  <si>
    <t>UC03.1.56</t>
  </si>
  <si>
    <t>UC03.1.57</t>
  </si>
  <si>
    <t>A9188</t>
  </si>
  <si>
    <t xml:space="preserve">SV-2040E-R15-288T-24-416 </t>
  </si>
  <si>
    <t>Streamvault™ 2040E Series - 2U 15-bahias Enrackable
288TB Raw RAID 6 1x Xeon Silver 4416+ 32GB RAM 2x
480GB M.2 NVMe SSD 12x 24TB SATA 2x 1GbE RJ45 + 2x 10/25GbE SPF28 2x 1100W PSU. Incluye licencia Windows Server Standard 5años NBD KYHD Garantía - Genetec™ Security Center pre-instalado.</t>
  </si>
  <si>
    <t>GSC-BASE-E</t>
  </si>
  <si>
    <t>Paquete base empresarial (Enterpise) de Genetec Security Center (GSC). Incluye el paquete Synergis Enterprise con soporte de Access Manage, Remote Security Desk y Badge Designer. Incluye el paquete Omnicast Enterprise con soporte para archivado y archivado auxiliar, enrutador multimedia, audio, escritorio de seguridad remoto, secuencias de cámara, bloqueo de cámara, corrección de distorsión de cámara, cámaras de conmutación por error, compatibilidad con matriz de hardware, zona horaria, grabación perimetral, transferencia de archivos y goteo, teclado y joystick Apoyo. Incluye el paquete estándar AutoVu. Otras características incluyeron: módulo de nivel de amenaza, Plan Manager Advanced para servidores de mapas GIS con entidades ilimitadas, un paquete estándar para vigilancia de áreas de seguridad restringidas, integración de Active Directory, una función de autenticación, una conexión de servicios de federación de Active Directory y una función de directorio de conmutación por error.</t>
  </si>
  <si>
    <t>Kit de programación para Bluetooth® Smart/Ultralight® C/MIFARE® Classic y Classic EV1/MIFARE Plus®/DESFire® EV1 y EV2/NFC HCE + Software SECard</t>
  </si>
  <si>
    <t>Licencia se sincronización de titulares globales del sistema</t>
  </si>
  <si>
    <t>GSC-1GCHM</t>
  </si>
  <si>
    <t>KIT-SECARD-BT-V3-X</t>
  </si>
  <si>
    <t>SVW-307E-T3-S2000-U7</t>
  </si>
  <si>
    <t>Workstation GENETEC. Plataforma Hardware Dell Pro-Max Tower T2. Unidad OS 1x 1TB SSD. Procesador Intel Core Ultra 7 265k. Fuente de Alimentación 1x 1500W PSU. Memoria 32 GB (2x 16GB DDR5 UDIMM Non-ECC 5600 MT/s). Puertos de Memoria 4x DDR5 (2x completos por defecto). NIC 1x 1GbE RJ45. Tarjeta Gráfica 1x NVIDIA RTX 2000 Ada (4x Mini-DisplayPort)</t>
  </si>
  <si>
    <t>UC02.1.48</t>
  </si>
  <si>
    <t>UC02.1.50</t>
  </si>
  <si>
    <t>UC02.1.52</t>
  </si>
  <si>
    <t>Interfaz IP con 8 contactos configurables de entrada o salida en conexión remota LAN. Entradas entradas supervisadas y niveles configurables. 8 E/S, configurables como entrada, entrada supervisada con lectura o salida analógicas (entrada digital: de 0 a 40 V CC máx.posibilidad de supervisar entre 0 y 12 V [4 estados]; salida digital: de 0 a 40 V CC máx.colector abierto, máx. 100 mA). PoE Clase 3: 3,6W.PoE Clase 4/Entrada de CC: 12 W. Incluye licencia de activación en sistema Mission Control de GENETEC.</t>
  </si>
  <si>
    <t>Hardware Cuarrto de Comunicaciones</t>
  </si>
  <si>
    <t>UC02.1.34</t>
  </si>
  <si>
    <t>UC02.1.35</t>
  </si>
  <si>
    <t>UC02.1.49</t>
  </si>
  <si>
    <t xml:space="preserve">Conector blindado macho RJ45 CAT6A. Modelo DRP10, de 8 vías Amphenol Communications Solutions. El diseño facilita el montaje y el desmontaje. Su construcción robusta garantiza un funcionamiento fiable en entornos hostiles. Opciones de salida de cable rectas, de 45 y 90°, para gestionar cables con flexibilidad. Rendimiento de alta velocidad de datos para Ethernet 10 G. Conectores macho IDC con terminación en campo. Construcción metálica para entornos hostiles. Se puede volver a terminar para facilitar la reinstalación. Cable de 24-27 AWG. </t>
  </si>
  <si>
    <t>Rj45_IND</t>
  </si>
  <si>
    <t>UC03.1.58</t>
  </si>
  <si>
    <t>UC03.1.59</t>
  </si>
  <si>
    <t>UC03.1.60</t>
  </si>
  <si>
    <t>UC03.1.61</t>
  </si>
  <si>
    <t>UC04.1.22</t>
  </si>
  <si>
    <t>UC4.2.7</t>
  </si>
  <si>
    <t>Hardware de VMS LOCAL</t>
  </si>
  <si>
    <t>STORAGE SERVER 4120 480TB</t>
  </si>
  <si>
    <t>Cisco 25GBASE-SR SFP Module.Longitud de enlace. Soporta una longitud de enlace de hasta 70m en fibra multimodo OM35. Alcanza hasta 100m en fibra multimodo OM45.Requiere RS-FEC (Reed-Solomon Forward Error Correction) en los puertos del host. Compatibilidad e interoperabilidad. Compatible con otras interfaces 25G que cumplen con los estándares IEEE3. Cumple con las especificaciones IEEE 802.3by y IEEE 802.3cc para conectividad de alta velocidad48. Rendimiento y fiabilidad.Ofrece una tasa de datos de 25 Gbps3. Utiliza conectores LC dúplex3. Certificado y probado en puertos Cisco SFP28 para garantizar un rendimiento y fiabilidad superiores. Características adicionales.
Módulo hot-pluggable (intercambiable en caliente). Incluye funciones de monitoreo digital de diagnóstico (DDM/DOM).Cumple con las especificaciones RoHS5.</t>
  </si>
  <si>
    <t>25GBASE-SR SFP</t>
  </si>
  <si>
    <t>FZ2RLU1U1NNM003</t>
  </si>
  <si>
    <t>Cables Parcheado Panduit FZ2RLU1U1NNM003
Tipo de Fibra: OM4. Número de Fibras: 2. Tipo de Conector 1: LC Dúplex
Tipo de Conector 2: LC Dúplex. Submarca: Opti-Core®. Clasificación de Inflamabilidad: LSZH (Baja emisión de humos, cero halógenos). Rendimiento de Pérdida por Inserción: Ultra Bajo. Diámetro de la Fibra (μm): 0.4. Diámetro Exterior (pulgadas): 0.08. Diámetro Exterior (mm): 2
Longitud Total (pies): 9.8. Longitud Total (metros): 3. Color del Cable: Aqua. Tipo de Producto: Cable de conexión LC (LC Patch Cord). 
Normativas Cumplidas: Cumple con RoHS. Cumple o excede ISO/IEC 11801, TIA/EIA-568-C.3, TIA-604-3 (FOCIS-3), TIA-604-10 (FOCIS-10). Todos los componentes del cable cumplen con los requisitos de la Directiva 2002/95/EC. Características del Producto: OM4, conector Uniboot con sistema de extracción, LC Dúplex, Baja emisión de humos y cero halógenos (LSZH), Multimodo, Ultra baja pérdida por inserción.</t>
  </si>
  <si>
    <t>Patchcord_FO_LC-LC15m</t>
  </si>
  <si>
    <t>Cables Parcheado FO LC-LC 15 metros multimodo OM4/OM5 
Conector A LC UPC Dúplex Conector B LC UPC Dúplex Cantidad de fibras 2 fibras Grado de fibra Insensible a la curvatura Modo de fibra OM4 50/125μm Longitud de onda 850/1300nm Polaridad A (Tx) a B (Rx) 
Tipo de cable Búfer ajustado Diámetro exterior del cable (OD) 2.0mm 
Cubierta del cable Riser (OFNR) Radio de curvatura mínimo (fibra óptica) 7.5mm Radio de curvatura mínimo (cable de fibra) 20/10D (dinámico/estático) Durabilidad del conector 1000 veces Resistencia a la tracción (a largo/corto plazo) 90/150N Pérdida de inserción ≤0.3dB 
Pérdida de retorno ≥30dB Atenuación a 850 nm 3.0dB/km Atenuación a 1300 nm 1.0dB/km Temperatura de funcionamiento -20 a 70°C (-4 a 158℉) Temperatura de almacenamiento -40 a 80°C (-40 a 176℉)</t>
  </si>
  <si>
    <t>UC02.1.11</t>
  </si>
  <si>
    <t>UC02.1.8</t>
  </si>
  <si>
    <t>UC02.1.3</t>
  </si>
  <si>
    <t>UC02.1.19</t>
  </si>
  <si>
    <t>UC02.1.33</t>
  </si>
  <si>
    <t>UC02.1.39</t>
  </si>
  <si>
    <t>UC02.1.40</t>
  </si>
  <si>
    <t>UC02.1.41</t>
  </si>
  <si>
    <t>UC02.1.47</t>
  </si>
  <si>
    <t>Hardware de VMS REMOTO (CPD)</t>
  </si>
  <si>
    <t>LEOCH con capacidad 12Ah, tensión nominal 12V, rango de temperatura de funcionamiento -20 a +60°C.</t>
  </si>
  <si>
    <t>BAT_SAI</t>
  </si>
  <si>
    <t>SAI de diseño compacto DELTA ULTRON HPH 20 KW GEN 2.</t>
  </si>
  <si>
    <t>SAI_20KVA</t>
  </si>
  <si>
    <t>Cuadro General SAI</t>
  </si>
  <si>
    <t>UC01.4.6</t>
  </si>
  <si>
    <t>UC01.4.8</t>
  </si>
  <si>
    <t>UC01.4.13</t>
  </si>
  <si>
    <t>UC01.4.25</t>
  </si>
  <si>
    <t>UC01.5.3</t>
  </si>
  <si>
    <t>UC01.5.4</t>
  </si>
  <si>
    <t>UC01.2.14</t>
  </si>
  <si>
    <t>UC02.1.5</t>
  </si>
  <si>
    <t>UC02.1.7</t>
  </si>
  <si>
    <t>UC02.1.12</t>
  </si>
  <si>
    <t>UC02.1.15</t>
  </si>
  <si>
    <t>UC02.1.23</t>
  </si>
  <si>
    <t>UC02.1.37</t>
  </si>
  <si>
    <t>UC02.1.43</t>
  </si>
  <si>
    <t>UC02.1.44</t>
  </si>
  <si>
    <t>UC02.1.45</t>
  </si>
  <si>
    <t>UC02.1.51</t>
  </si>
  <si>
    <t>Partida mano de obra para configuración analítica de vídeo. 17Cam_T, 2Lidar.</t>
  </si>
  <si>
    <t xml:space="preserve">HPE ALLETRA STORAGE SERVER 4120 – 480TB Mínimo 4 nodos, máximo 256 nodos. Procesadores 5ª generación Intel Xeon Escalable (4510). Red 2 puertos de 100Gb y dos puertos de 10/25Gb (Activos para propósito general). RAM 128GB. Capacidad de almacenamiento de Datos (raw). 480TB LFF HDD (24 x 20 TB SATA 6G) NVMe (raw) Cache Capacity	30.72TB (8 x 3.84 NVMe). Seguridad SW FIPS 140-2 encriptación.Smart Array SR932i-p x32 Lanes. Factor de Forma 2U standard de profundidad de rack. Seguridad física TPM 2.0, iDevID, raíz de confianza de silicio, bloqueo lógico de configuración, arranque seguro, inicio seguro, cifrado seguro basado en controlador opcional, unidades con auto cifrado opcionales, borrado seguro opcional, bisel de seguridad con cierre, servicio optimizado de  Seguridad de servidor HPE. Especificación de alimentación 2 fuentes de alimentación HPE con ranura flexible (Flex Slot) de hasta 2200 W por fuente. Dispositivo de arranque dedicado. Hardware SSD duplicado M.2 NVMe dual (solo interno) o SSD M.2 NVMe dual de conexión directa Bahías de unidades frontales	24 SAS/SATA LFF o 48 SAS/SATA SFF Bahías de unidades traseras 12 E3.S 1T Gen5 NVMe, 6 VMe/SAS/SATA SFF Gen4 o 4 SAS/SATA LFF. Gestión de infraestructura. HPE iLO 6 Standard, HPE iLO 6 Advanced actualizable mediante licencia. HPE GreenLake para Compute Ops Management (suscripción incluida) u opcional HPEOneView (requiere descarga) Sistema de refrigeración 5 módulos de sistema de ventilador dual con redundancia de rotor N+1. Medidas del producto(métrico) 87,50 x 448 x 812,80 mm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</si>
</sst>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44" formatCode="_-* #,##0.00\ &quot;€&quot;_-;\-* #,##0.00\ &quot;€&quot;_-;_-* &quot;-&quot;??\ &quot;€&quot;_-;_-@_-"/>
    <numFmt numFmtId="164" formatCode="#,##0.0000"/>
    <numFmt numFmtId="165" formatCode="#,##0.000"/>
    <numFmt numFmtId="166" formatCode="#,##0.00\ &quot;€&quot;"/>
    <numFmt numFmtId="167" formatCode="0.000"/>
  </numFmts>
  <fonts count="26"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sz val="11"/>
      <color theme="1"/>
      <name val="Calibri"/>
      <family val="2"/>
      <scheme val="minor"/>
    </font>
    <font>
      <b/>
      <sz val="18"/>
      <color indexed="9"/>
      <name val="Arial"/>
      <family val="2"/>
    </font>
    <font>
      <b/>
      <sz val="47"/>
      <color rgb="FF0038A8"/>
      <name val="Arial"/>
      <family val="2"/>
    </font>
    <font>
      <b/>
      <u/>
      <sz val="16"/>
      <color theme="1"/>
      <name val="Calibri"/>
      <family val="2"/>
      <scheme val="minor"/>
    </font>
    <font>
      <b/>
      <sz val="16"/>
      <color theme="1"/>
      <name val="Calibri"/>
      <family val="2"/>
      <scheme val="minor"/>
    </font>
    <font>
      <b/>
      <sz val="10"/>
      <name val="Arial"/>
      <family val="2"/>
    </font>
    <font>
      <b/>
      <sz val="10"/>
      <color indexed="9"/>
      <name val="Arial"/>
      <family val="2"/>
    </font>
    <font>
      <b/>
      <sz val="11"/>
      <color theme="0"/>
      <name val="Arial"/>
      <family val="2"/>
    </font>
    <font>
      <b/>
      <sz val="12"/>
      <color theme="1"/>
      <name val="Calibri"/>
      <family val="2"/>
      <scheme val="minor"/>
    </font>
    <font>
      <sz val="10"/>
      <name val="Arial"/>
      <family val="2"/>
    </font>
    <font>
      <sz val="10"/>
      <color theme="1"/>
      <name val="Arial"/>
      <family val="2"/>
    </font>
    <font>
      <i/>
      <sz val="10"/>
      <name val="Arial"/>
      <family val="2"/>
    </font>
    <font>
      <b/>
      <sz val="72"/>
      <color rgb="FF0038A8"/>
      <name val="Arial"/>
      <family val="2"/>
    </font>
    <font>
      <b/>
      <sz val="64"/>
      <color rgb="FF0038A8"/>
      <name val="Arial"/>
      <family val="2"/>
    </font>
    <font>
      <b/>
      <sz val="11"/>
      <color rgb="FFC00000"/>
      <name val="Calibri"/>
      <family val="2"/>
      <scheme val="minor"/>
    </font>
    <font>
      <b/>
      <i/>
      <sz val="11"/>
      <color rgb="FFC00000"/>
      <name val="Calibri"/>
      <family val="2"/>
      <scheme val="minor"/>
    </font>
    <font>
      <b/>
      <sz val="11"/>
      <color theme="4"/>
      <name val="Calibri"/>
      <family val="2"/>
      <scheme val="minor"/>
    </font>
    <font>
      <b/>
      <i/>
      <sz val="11"/>
      <color theme="4"/>
      <name val="Calibri"/>
      <family val="2"/>
      <scheme val="minor"/>
    </font>
    <font>
      <b/>
      <sz val="11"/>
      <color rgb="FF00B050"/>
      <name val="Calibri"/>
      <family val="2"/>
      <scheme val="minor"/>
    </font>
    <font>
      <b/>
      <i/>
      <sz val="11"/>
      <color rgb="FF00B050"/>
      <name val="Calibri"/>
      <family val="2"/>
      <scheme val="minor"/>
    </font>
    <font>
      <sz val="10"/>
      <name val="Aptos Narrow"/>
      <family val="2"/>
    </font>
  </fonts>
  <fills count="14">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rgb="FF276F95"/>
        <bgColor indexed="64"/>
      </patternFill>
    </fill>
    <fill>
      <patternFill patternType="solid">
        <fgColor indexed="44"/>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indexed="9"/>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65">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9"/>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dotted">
        <color indexed="64"/>
      </top>
      <bottom/>
      <diagonal/>
    </border>
    <border>
      <left/>
      <right/>
      <top style="dotted">
        <color indexed="64"/>
      </top>
      <bottom/>
      <diagonal/>
    </border>
    <border>
      <left style="thin">
        <color indexed="64"/>
      </left>
      <right/>
      <top/>
      <bottom style="dotted">
        <color indexed="64"/>
      </bottom>
      <diagonal/>
    </border>
    <border>
      <left/>
      <right style="dotted">
        <color indexed="64"/>
      </right>
      <top/>
      <bottom style="dotted">
        <color indexed="64"/>
      </bottom>
      <diagonal/>
    </border>
    <border>
      <left style="dotted">
        <color indexed="64"/>
      </left>
      <right style="dotted">
        <color indexed="64"/>
      </right>
      <top/>
      <bottom style="dotted">
        <color indexed="64"/>
      </bottom>
      <diagonal/>
    </border>
    <border>
      <left/>
      <right/>
      <top/>
      <bottom style="dotted">
        <color indexed="64"/>
      </bottom>
      <diagonal/>
    </border>
    <border>
      <left style="dotted">
        <color indexed="64"/>
      </left>
      <right style="thin">
        <color indexed="64"/>
      </right>
      <top/>
      <bottom style="dotted">
        <color indexed="64"/>
      </bottom>
      <diagonal/>
    </border>
    <border>
      <left style="medium">
        <color indexed="64"/>
      </left>
      <right/>
      <top style="thin">
        <color indexed="64"/>
      </top>
      <bottom style="thin">
        <color indexed="64"/>
      </bottom>
      <diagonal/>
    </border>
    <border>
      <left/>
      <right style="thin">
        <color indexed="64"/>
      </right>
      <top/>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right style="dotted">
        <color indexed="64"/>
      </right>
      <top style="dotted">
        <color indexed="64"/>
      </top>
      <bottom style="dotted">
        <color indexed="64"/>
      </bottom>
      <diagonal/>
    </border>
    <border>
      <left style="thin">
        <color indexed="64"/>
      </left>
      <right/>
      <top style="dotted">
        <color indexed="64"/>
      </top>
      <bottom style="dotted">
        <color indexed="64"/>
      </bottom>
      <diagonal/>
    </border>
    <border>
      <left style="dotted">
        <color indexed="64"/>
      </left>
      <right style="dotted">
        <color indexed="64"/>
      </right>
      <top style="dotted">
        <color indexed="64"/>
      </top>
      <bottom/>
      <diagonal/>
    </border>
    <border>
      <left style="thin">
        <color indexed="64"/>
      </left>
      <right/>
      <top/>
      <bottom/>
      <diagonal/>
    </border>
    <border>
      <left/>
      <right style="thin">
        <color indexed="64"/>
      </right>
      <top style="thin">
        <color indexed="64"/>
      </top>
      <bottom/>
      <diagonal/>
    </border>
    <border>
      <left/>
      <right/>
      <top style="dotted">
        <color indexed="64"/>
      </top>
      <bottom style="dotted">
        <color indexed="64"/>
      </bottom>
      <diagonal/>
    </border>
    <border>
      <left/>
      <right style="dotted">
        <color indexed="64"/>
      </right>
      <top/>
      <bottom/>
      <diagonal/>
    </border>
    <border>
      <left style="dotted">
        <color indexed="64"/>
      </left>
      <right style="dotted">
        <color indexed="64"/>
      </right>
      <top/>
      <bottom/>
      <diagonal/>
    </border>
    <border>
      <left style="dotted">
        <color indexed="64"/>
      </left>
      <right style="dotted">
        <color indexed="64"/>
      </right>
      <top style="dotted">
        <color indexed="64"/>
      </top>
      <bottom style="dashed">
        <color indexed="64"/>
      </bottom>
      <diagonal/>
    </border>
    <border>
      <left/>
      <right style="dotted">
        <color indexed="64"/>
      </right>
      <top style="dotted">
        <color indexed="64"/>
      </top>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diagonal/>
    </border>
    <border>
      <left style="thin">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right/>
      <top style="thin">
        <color indexed="64"/>
      </top>
      <bottom style="dotted">
        <color indexed="64"/>
      </bottom>
      <diagonal/>
    </border>
    <border>
      <left/>
      <right style="thin">
        <color indexed="64"/>
      </right>
      <top style="dotted">
        <color indexed="64"/>
      </top>
      <bottom/>
      <diagonal/>
    </border>
    <border>
      <left style="dotted">
        <color indexed="64"/>
      </left>
      <right/>
      <top style="dotted">
        <color indexed="64"/>
      </top>
      <bottom style="thin">
        <color indexed="64"/>
      </bottom>
      <diagonal/>
    </border>
    <border>
      <left/>
      <right/>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top/>
      <bottom/>
      <diagonal/>
    </border>
    <border>
      <left style="thin">
        <color indexed="64"/>
      </left>
      <right style="thin">
        <color indexed="64"/>
      </right>
      <top style="thin">
        <color indexed="64"/>
      </top>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s>
  <cellStyleXfs count="3">
    <xf numFmtId="0" fontId="0" fillId="0" borderId="0"/>
    <xf numFmtId="44" fontId="5" fillId="0" borderId="0" applyFont="0" applyFill="0" applyBorder="0" applyAlignment="0" applyProtection="0"/>
    <xf numFmtId="44" fontId="5" fillId="0" borderId="0" applyFont="0" applyFill="0" applyBorder="0" applyAlignment="0" applyProtection="0"/>
  </cellStyleXfs>
  <cellXfs count="259">
    <xf numFmtId="0" fontId="0" fillId="0" borderId="0" xfId="0"/>
    <xf numFmtId="166" fontId="0" fillId="0" borderId="13" xfId="1" applyNumberFormat="1" applyFont="1" applyBorder="1" applyProtection="1"/>
    <xf numFmtId="166" fontId="0" fillId="0" borderId="0" xfId="1" applyNumberFormat="1" applyFont="1" applyBorder="1" applyProtection="1"/>
    <xf numFmtId="166" fontId="0" fillId="0" borderId="13" xfId="1" applyNumberFormat="1" applyFont="1" applyBorder="1" applyAlignment="1" applyProtection="1"/>
    <xf numFmtId="166" fontId="0" fillId="0" borderId="0" xfId="1" applyNumberFormat="1" applyFont="1" applyBorder="1" applyAlignment="1" applyProtection="1"/>
    <xf numFmtId="44" fontId="18" fillId="0" borderId="0" xfId="1" applyFont="1" applyAlignment="1" applyProtection="1">
      <alignment horizontal="center" vertical="center"/>
    </xf>
    <xf numFmtId="44" fontId="0" fillId="0" borderId="0" xfId="1" applyFont="1" applyProtection="1"/>
    <xf numFmtId="44" fontId="3" fillId="0" borderId="0" xfId="1" applyFont="1" applyBorder="1" applyAlignment="1" applyProtection="1">
      <alignment vertical="center"/>
    </xf>
    <xf numFmtId="10" fontId="3" fillId="3" borderId="4" xfId="0" quotePrefix="1" applyNumberFormat="1" applyFont="1" applyFill="1" applyBorder="1" applyProtection="1">
      <protection locked="0"/>
    </xf>
    <xf numFmtId="166" fontId="14" fillId="4" borderId="20" xfId="0" applyNumberFormat="1" applyFont="1" applyFill="1" applyBorder="1" applyAlignment="1" applyProtection="1">
      <alignment horizontal="right" wrapText="1"/>
      <protection locked="0"/>
    </xf>
    <xf numFmtId="166" fontId="14" fillId="4" borderId="44" xfId="0" applyNumberFormat="1" applyFont="1" applyFill="1" applyBorder="1" applyAlignment="1" applyProtection="1">
      <alignment horizontal="right" wrapText="1"/>
      <protection locked="0"/>
    </xf>
    <xf numFmtId="166" fontId="14" fillId="4" borderId="26" xfId="0" applyNumberFormat="1" applyFont="1" applyFill="1" applyBorder="1" applyAlignment="1" applyProtection="1">
      <alignment horizontal="right" wrapText="1"/>
      <protection locked="0"/>
    </xf>
    <xf numFmtId="166" fontId="14" fillId="4" borderId="40" xfId="0" applyNumberFormat="1" applyFont="1" applyFill="1" applyBorder="1" applyAlignment="1" applyProtection="1">
      <alignment horizontal="right" wrapText="1"/>
      <protection locked="0"/>
    </xf>
    <xf numFmtId="0" fontId="7" fillId="0" borderId="0" xfId="0" applyFont="1" applyAlignment="1">
      <alignment vertical="center" wrapText="1"/>
    </xf>
    <xf numFmtId="165" fontId="10" fillId="7" borderId="13" xfId="0" applyNumberFormat="1" applyFont="1" applyFill="1" applyBorder="1" applyAlignment="1">
      <alignment horizontal="center" vertical="top" wrapText="1"/>
    </xf>
    <xf numFmtId="3" fontId="11" fillId="6" borderId="13" xfId="0" applyNumberFormat="1" applyFont="1" applyFill="1" applyBorder="1" applyAlignment="1">
      <alignment vertical="top" wrapText="1"/>
    </xf>
    <xf numFmtId="3" fontId="12" fillId="6" borderId="13" xfId="0" applyNumberFormat="1" applyFont="1" applyFill="1" applyBorder="1" applyAlignment="1">
      <alignment horizontal="right" vertical="top" wrapText="1"/>
    </xf>
    <xf numFmtId="166" fontId="13" fillId="0" borderId="13" xfId="0" applyNumberFormat="1" applyFont="1" applyBorder="1"/>
    <xf numFmtId="166" fontId="13" fillId="0" borderId="0" xfId="0" applyNumberFormat="1" applyFont="1"/>
    <xf numFmtId="0" fontId="10" fillId="7" borderId="13" xfId="0" applyFont="1" applyFill="1" applyBorder="1" applyAlignment="1">
      <alignment horizontal="center" vertical="top" wrapText="1"/>
    </xf>
    <xf numFmtId="167" fontId="10" fillId="7" borderId="13" xfId="0" applyNumberFormat="1" applyFont="1" applyFill="1" applyBorder="1" applyAlignment="1">
      <alignment horizontal="center" vertical="top" wrapText="1"/>
    </xf>
    <xf numFmtId="3" fontId="14" fillId="10" borderId="18" xfId="0" applyNumberFormat="1" applyFont="1" applyFill="1" applyBorder="1" applyAlignment="1">
      <alignment horizontal="center" vertical="top" wrapText="1"/>
    </xf>
    <xf numFmtId="3" fontId="14" fillId="10" borderId="19" xfId="0" applyNumberFormat="1" applyFont="1" applyFill="1" applyBorder="1" applyAlignment="1">
      <alignment horizontal="left" vertical="top" wrapText="1"/>
    </xf>
    <xf numFmtId="0" fontId="14" fillId="0" borderId="20" xfId="0" applyFont="1" applyBorder="1" applyAlignment="1">
      <alignment vertical="top" wrapText="1"/>
    </xf>
    <xf numFmtId="0" fontId="14" fillId="10" borderId="20" xfId="0" applyFont="1" applyFill="1" applyBorder="1" applyAlignment="1">
      <alignment vertical="center" wrapText="1"/>
    </xf>
    <xf numFmtId="166" fontId="14" fillId="10" borderId="20" xfId="0" applyNumberFormat="1" applyFont="1" applyFill="1" applyBorder="1" applyAlignment="1">
      <alignment horizontal="right" wrapText="1"/>
    </xf>
    <xf numFmtId="166" fontId="14" fillId="10" borderId="22" xfId="0" applyNumberFormat="1" applyFont="1" applyFill="1" applyBorder="1" applyAlignment="1">
      <alignment horizontal="right" wrapText="1"/>
    </xf>
    <xf numFmtId="0" fontId="15" fillId="0" borderId="0" xfId="0" applyFont="1"/>
    <xf numFmtId="3" fontId="14" fillId="10" borderId="42" xfId="0" applyNumberFormat="1" applyFont="1" applyFill="1" applyBorder="1" applyAlignment="1">
      <alignment horizontal="center" vertical="top" wrapText="1"/>
    </xf>
    <xf numFmtId="3" fontId="14" fillId="10" borderId="43" xfId="0" applyNumberFormat="1" applyFont="1" applyFill="1" applyBorder="1" applyAlignment="1">
      <alignment horizontal="left" vertical="top" wrapText="1"/>
    </xf>
    <xf numFmtId="166" fontId="14" fillId="10" borderId="45" xfId="0" applyNumberFormat="1" applyFont="1" applyFill="1" applyBorder="1" applyAlignment="1">
      <alignment horizontal="right" wrapText="1"/>
    </xf>
    <xf numFmtId="0" fontId="14" fillId="10" borderId="20" xfId="0" applyFont="1" applyFill="1" applyBorder="1" applyAlignment="1">
      <alignment vertical="top" wrapText="1"/>
    </xf>
    <xf numFmtId="3" fontId="14" fillId="10" borderId="46" xfId="0" applyNumberFormat="1" applyFont="1" applyFill="1" applyBorder="1" applyAlignment="1">
      <alignment horizontal="center" vertical="top" wrapText="1"/>
    </xf>
    <xf numFmtId="3" fontId="14" fillId="10" borderId="47" xfId="0" applyNumberFormat="1" applyFont="1" applyFill="1" applyBorder="1" applyAlignment="1">
      <alignment horizontal="left" vertical="top" wrapText="1"/>
    </xf>
    <xf numFmtId="0" fontId="14" fillId="10" borderId="48" xfId="0" applyFont="1" applyFill="1" applyBorder="1" applyAlignment="1">
      <alignment vertical="top" wrapText="1"/>
    </xf>
    <xf numFmtId="166" fontId="14" fillId="10" borderId="48" xfId="0" applyNumberFormat="1" applyFont="1" applyFill="1" applyBorder="1" applyAlignment="1">
      <alignment horizontal="right" wrapText="1"/>
    </xf>
    <xf numFmtId="166" fontId="14" fillId="10" borderId="49" xfId="0" applyNumberFormat="1" applyFont="1" applyFill="1" applyBorder="1" applyAlignment="1">
      <alignment horizontal="right" wrapText="1"/>
    </xf>
    <xf numFmtId="3" fontId="10" fillId="10" borderId="15" xfId="0" applyNumberFormat="1" applyFont="1" applyFill="1" applyBorder="1" applyAlignment="1">
      <alignment horizontal="center" vertical="top" wrapText="1"/>
    </xf>
    <xf numFmtId="0" fontId="10" fillId="10" borderId="15" xfId="0" applyFont="1" applyFill="1" applyBorder="1" applyAlignment="1">
      <alignment horizontal="center" vertical="top" wrapText="1"/>
    </xf>
    <xf numFmtId="3" fontId="10" fillId="7" borderId="13" xfId="0" applyNumberFormat="1" applyFont="1" applyFill="1" applyBorder="1" applyAlignment="1">
      <alignment horizontal="left" vertical="center"/>
    </xf>
    <xf numFmtId="166" fontId="10" fillId="7" borderId="13" xfId="0" applyNumberFormat="1" applyFont="1" applyFill="1" applyBorder="1" applyAlignment="1">
      <alignment horizontal="right" vertical="center" wrapText="1"/>
    </xf>
    <xf numFmtId="3" fontId="10" fillId="7" borderId="23" xfId="0" applyNumberFormat="1" applyFont="1" applyFill="1" applyBorder="1" applyAlignment="1">
      <alignment horizontal="left" vertical="center"/>
    </xf>
    <xf numFmtId="3" fontId="10" fillId="10" borderId="0" xfId="0" applyNumberFormat="1" applyFont="1" applyFill="1" applyAlignment="1">
      <alignment horizontal="center" vertical="top" wrapText="1"/>
    </xf>
    <xf numFmtId="0" fontId="10" fillId="10" borderId="0" xfId="0" applyFont="1" applyFill="1" applyAlignment="1">
      <alignment horizontal="center" vertical="top" wrapText="1"/>
    </xf>
    <xf numFmtId="167" fontId="16" fillId="10" borderId="0" xfId="0" applyNumberFormat="1" applyFont="1" applyFill="1" applyAlignment="1">
      <alignment horizontal="right" vertical="top" wrapText="1"/>
    </xf>
    <xf numFmtId="165" fontId="16" fillId="10" borderId="0" xfId="0" applyNumberFormat="1" applyFont="1" applyFill="1" applyAlignment="1">
      <alignment horizontal="right" vertical="top" wrapText="1"/>
    </xf>
    <xf numFmtId="0" fontId="14" fillId="0" borderId="44" xfId="0" applyFont="1" applyBorder="1" applyAlignment="1">
      <alignment vertical="top" wrapText="1"/>
    </xf>
    <xf numFmtId="0" fontId="14" fillId="10" borderId="44" xfId="0" applyFont="1" applyFill="1" applyBorder="1" applyAlignment="1">
      <alignment vertical="center" wrapText="1"/>
    </xf>
    <xf numFmtId="166" fontId="14" fillId="10" borderId="44" xfId="0" applyNumberFormat="1" applyFont="1" applyFill="1" applyBorder="1" applyAlignment="1">
      <alignment horizontal="right" wrapText="1"/>
    </xf>
    <xf numFmtId="0" fontId="15" fillId="0" borderId="24" xfId="0" applyFont="1" applyBorder="1"/>
    <xf numFmtId="3" fontId="14" fillId="10" borderId="43" xfId="0" applyNumberFormat="1" applyFont="1" applyFill="1" applyBorder="1" applyAlignment="1">
      <alignment vertical="top" wrapText="1"/>
    </xf>
    <xf numFmtId="3" fontId="14" fillId="10" borderId="19" xfId="0" applyNumberFormat="1" applyFont="1" applyFill="1" applyBorder="1" applyAlignment="1">
      <alignment vertical="top" wrapText="1"/>
    </xf>
    <xf numFmtId="166" fontId="14" fillId="10" borderId="25" xfId="0" applyNumberFormat="1" applyFont="1" applyFill="1" applyBorder="1" applyAlignment="1">
      <alignment horizontal="right" wrapText="1"/>
    </xf>
    <xf numFmtId="166" fontId="15" fillId="0" borderId="0" xfId="0" applyNumberFormat="1" applyFont="1"/>
    <xf numFmtId="3" fontId="14" fillId="10" borderId="29" xfId="0" applyNumberFormat="1" applyFont="1" applyFill="1" applyBorder="1" applyAlignment="1">
      <alignment horizontal="center" vertical="top" wrapText="1"/>
    </xf>
    <xf numFmtId="3" fontId="14" fillId="10" borderId="28" xfId="0" applyNumberFormat="1" applyFont="1" applyFill="1" applyBorder="1" applyAlignment="1">
      <alignment horizontal="left" vertical="top" wrapText="1"/>
    </xf>
    <xf numFmtId="0" fontId="14" fillId="0" borderId="26" xfId="0" applyFont="1" applyBorder="1" applyAlignment="1">
      <alignment vertical="top" wrapText="1"/>
    </xf>
    <xf numFmtId="0" fontId="14" fillId="10" borderId="26" xfId="0" applyFont="1" applyFill="1" applyBorder="1" applyAlignment="1">
      <alignment vertical="center" wrapText="1"/>
    </xf>
    <xf numFmtId="166" fontId="14" fillId="10" borderId="26" xfId="0" applyNumberFormat="1" applyFont="1" applyFill="1" applyBorder="1" applyAlignment="1">
      <alignment horizontal="right" wrapText="1"/>
    </xf>
    <xf numFmtId="3" fontId="14" fillId="10" borderId="31" xfId="0" applyNumberFormat="1" applyFont="1" applyFill="1" applyBorder="1" applyAlignment="1">
      <alignment horizontal="center" vertical="top" wrapText="1"/>
    </xf>
    <xf numFmtId="3" fontId="14" fillId="10" borderId="34" xfId="0" applyNumberFormat="1" applyFont="1" applyFill="1" applyBorder="1" applyAlignment="1">
      <alignment vertical="top" wrapText="1"/>
    </xf>
    <xf numFmtId="166" fontId="14" fillId="10" borderId="27" xfId="0" applyNumberFormat="1" applyFont="1" applyFill="1" applyBorder="1" applyAlignment="1">
      <alignment horizontal="right" wrapText="1"/>
    </xf>
    <xf numFmtId="166" fontId="14" fillId="11" borderId="55" xfId="0" applyNumberFormat="1" applyFont="1" applyFill="1" applyBorder="1" applyAlignment="1">
      <alignment horizontal="right" wrapText="1"/>
    </xf>
    <xf numFmtId="166" fontId="14" fillId="10" borderId="54" xfId="0" applyNumberFormat="1" applyFont="1" applyFill="1" applyBorder="1" applyAlignment="1">
      <alignment horizontal="right" wrapText="1"/>
    </xf>
    <xf numFmtId="3" fontId="14" fillId="10" borderId="47" xfId="0" applyNumberFormat="1" applyFont="1" applyFill="1" applyBorder="1" applyAlignment="1">
      <alignment vertical="top" wrapText="1"/>
    </xf>
    <xf numFmtId="166" fontId="14" fillId="11" borderId="52" xfId="0" applyNumberFormat="1" applyFont="1" applyFill="1" applyBorder="1" applyAlignment="1">
      <alignment horizontal="right" wrapText="1"/>
    </xf>
    <xf numFmtId="3" fontId="10" fillId="7" borderId="10" xfId="0" applyNumberFormat="1" applyFont="1" applyFill="1" applyBorder="1" applyAlignment="1">
      <alignment horizontal="left" vertical="center"/>
    </xf>
    <xf numFmtId="3" fontId="14" fillId="10" borderId="38" xfId="0" applyNumberFormat="1" applyFont="1" applyFill="1" applyBorder="1" applyAlignment="1">
      <alignment horizontal="center" vertical="top" wrapText="1"/>
    </xf>
    <xf numFmtId="3" fontId="14" fillId="10" borderId="39" xfId="0" applyNumberFormat="1" applyFont="1" applyFill="1" applyBorder="1" applyAlignment="1">
      <alignment horizontal="left" vertical="top" wrapText="1"/>
    </xf>
    <xf numFmtId="0" fontId="14" fillId="0" borderId="40" xfId="0" applyFont="1" applyBorder="1" applyAlignment="1">
      <alignment vertical="top" wrapText="1"/>
    </xf>
    <xf numFmtId="0" fontId="14" fillId="10" borderId="40" xfId="0" applyFont="1" applyFill="1" applyBorder="1" applyAlignment="1">
      <alignment vertical="center" wrapText="1"/>
    </xf>
    <xf numFmtId="166" fontId="14" fillId="10" borderId="40" xfId="0" applyNumberFormat="1" applyFont="1" applyFill="1" applyBorder="1" applyAlignment="1">
      <alignment horizontal="right" wrapText="1"/>
    </xf>
    <xf numFmtId="3" fontId="14" fillId="0" borderId="42" xfId="0" applyNumberFormat="1" applyFont="1" applyBorder="1" applyAlignment="1">
      <alignment horizontal="center" vertical="top" wrapText="1"/>
    </xf>
    <xf numFmtId="3" fontId="14" fillId="0" borderId="43" xfId="0" applyNumberFormat="1" applyFont="1" applyBorder="1" applyAlignment="1">
      <alignment horizontal="left" vertical="top" wrapText="1"/>
    </xf>
    <xf numFmtId="0" fontId="14" fillId="0" borderId="44" xfId="0" applyFont="1" applyBorder="1" applyAlignment="1">
      <alignment vertical="center" wrapText="1"/>
    </xf>
    <xf numFmtId="166" fontId="14" fillId="0" borderId="44" xfId="0" applyNumberFormat="1" applyFont="1" applyBorder="1" applyAlignment="1">
      <alignment horizontal="right" wrapText="1"/>
    </xf>
    <xf numFmtId="166" fontId="14" fillId="0" borderId="45" xfId="0" applyNumberFormat="1" applyFont="1" applyBorder="1" applyAlignment="1">
      <alignment horizontal="right" wrapText="1"/>
    </xf>
    <xf numFmtId="3" fontId="14" fillId="0" borderId="29" xfId="0" applyNumberFormat="1" applyFont="1" applyBorder="1" applyAlignment="1">
      <alignment horizontal="center" vertical="top" wrapText="1"/>
    </xf>
    <xf numFmtId="3" fontId="14" fillId="0" borderId="28" xfId="0" applyNumberFormat="1" applyFont="1" applyBorder="1" applyAlignment="1">
      <alignment horizontal="left" vertical="top" wrapText="1"/>
    </xf>
    <xf numFmtId="0" fontId="14" fillId="0" borderId="26" xfId="0" applyFont="1" applyBorder="1" applyAlignment="1">
      <alignment vertical="center" wrapText="1"/>
    </xf>
    <xf numFmtId="166" fontId="14" fillId="0" borderId="26" xfId="0" applyNumberFormat="1" applyFont="1" applyBorder="1" applyAlignment="1">
      <alignment horizontal="right" wrapText="1"/>
    </xf>
    <xf numFmtId="166" fontId="14" fillId="0" borderId="25" xfId="0" applyNumberFormat="1" applyFont="1" applyBorder="1" applyAlignment="1">
      <alignment horizontal="right" wrapText="1"/>
    </xf>
    <xf numFmtId="3" fontId="14" fillId="10" borderId="34" xfId="0" applyNumberFormat="1" applyFont="1" applyFill="1" applyBorder="1" applyAlignment="1">
      <alignment horizontal="left" vertical="top" wrapText="1"/>
    </xf>
    <xf numFmtId="3" fontId="14" fillId="0" borderId="31" xfId="0" applyNumberFormat="1" applyFont="1" applyBorder="1" applyAlignment="1">
      <alignment horizontal="center" vertical="top" wrapText="1"/>
    </xf>
    <xf numFmtId="3" fontId="14" fillId="0" borderId="18" xfId="0" applyNumberFormat="1" applyFont="1" applyBorder="1" applyAlignment="1">
      <alignment horizontal="center" vertical="top" wrapText="1"/>
    </xf>
    <xf numFmtId="3" fontId="14" fillId="10" borderId="34" xfId="0" applyNumberFormat="1" applyFont="1" applyFill="1" applyBorder="1" applyAlignment="1">
      <alignment horizontal="right" vertical="top" wrapText="1"/>
    </xf>
    <xf numFmtId="166" fontId="11" fillId="6" borderId="11" xfId="0" applyNumberFormat="1" applyFont="1" applyFill="1" applyBorder="1" applyAlignment="1">
      <alignment horizontal="right" vertical="center" wrapText="1"/>
    </xf>
    <xf numFmtId="166" fontId="11" fillId="6" borderId="0" xfId="0" applyNumberFormat="1" applyFont="1" applyFill="1" applyAlignment="1">
      <alignment horizontal="right" vertical="center" wrapText="1"/>
    </xf>
    <xf numFmtId="0" fontId="17" fillId="0" borderId="0" xfId="0" applyFont="1"/>
    <xf numFmtId="44" fontId="13" fillId="0" borderId="0" xfId="0" applyNumberFormat="1" applyFont="1"/>
    <xf numFmtId="3" fontId="10" fillId="10" borderId="0" xfId="0" applyNumberFormat="1" applyFont="1" applyFill="1" applyAlignment="1">
      <alignment horizontal="right" vertical="top" wrapText="1"/>
    </xf>
    <xf numFmtId="0" fontId="10" fillId="10" borderId="0" xfId="0" applyFont="1" applyFill="1" applyAlignment="1">
      <alignment vertical="top" wrapText="1"/>
    </xf>
    <xf numFmtId="167" fontId="10" fillId="10" borderId="0" xfId="0" applyNumberFormat="1" applyFont="1" applyFill="1" applyAlignment="1">
      <alignment horizontal="right" vertical="top" wrapText="1"/>
    </xf>
    <xf numFmtId="165" fontId="10" fillId="10" borderId="0" xfId="0" applyNumberFormat="1" applyFont="1" applyFill="1" applyAlignment="1">
      <alignment horizontal="right" vertical="top" wrapText="1"/>
    </xf>
    <xf numFmtId="166" fontId="14" fillId="0" borderId="20" xfId="0" applyNumberFormat="1" applyFont="1" applyBorder="1" applyAlignment="1">
      <alignment horizontal="right" wrapText="1"/>
    </xf>
    <xf numFmtId="166" fontId="14" fillId="0" borderId="22" xfId="0" applyNumberFormat="1" applyFont="1" applyBorder="1" applyAlignment="1">
      <alignment horizontal="right" wrapText="1"/>
    </xf>
    <xf numFmtId="3" fontId="14" fillId="10" borderId="19" xfId="0" applyNumberFormat="1" applyFont="1" applyFill="1" applyBorder="1" applyAlignment="1">
      <alignment horizontal="right" vertical="top" wrapText="1"/>
    </xf>
    <xf numFmtId="0" fontId="14" fillId="10" borderId="26" xfId="0" applyFont="1" applyFill="1" applyBorder="1" applyAlignment="1">
      <alignment vertical="top" wrapText="1"/>
    </xf>
    <xf numFmtId="3" fontId="14" fillId="10" borderId="16" xfId="0" applyNumberFormat="1" applyFont="1" applyFill="1" applyBorder="1" applyAlignment="1">
      <alignment horizontal="center" vertical="top" wrapText="1"/>
    </xf>
    <xf numFmtId="3" fontId="14" fillId="10" borderId="37" xfId="0" applyNumberFormat="1" applyFont="1" applyFill="1" applyBorder="1" applyAlignment="1">
      <alignment horizontal="left" vertical="top" wrapText="1"/>
    </xf>
    <xf numFmtId="0" fontId="14" fillId="0" borderId="30" xfId="0" applyFont="1" applyBorder="1" applyAlignment="1">
      <alignment vertical="top" wrapText="1"/>
    </xf>
    <xf numFmtId="0" fontId="14" fillId="10" borderId="30" xfId="0" applyFont="1" applyFill="1" applyBorder="1" applyAlignment="1">
      <alignment vertical="top" wrapText="1"/>
    </xf>
    <xf numFmtId="166" fontId="14" fillId="0" borderId="30" xfId="0" applyNumberFormat="1" applyFont="1" applyBorder="1" applyAlignment="1">
      <alignment horizontal="right" wrapText="1"/>
    </xf>
    <xf numFmtId="166" fontId="14" fillId="0" borderId="41" xfId="0" applyNumberFormat="1" applyFont="1" applyBorder="1" applyAlignment="1">
      <alignment horizontal="right" wrapText="1"/>
    </xf>
    <xf numFmtId="3" fontId="14" fillId="0" borderId="34" xfId="0" applyNumberFormat="1" applyFont="1" applyBorder="1" applyAlignment="1">
      <alignment horizontal="left" vertical="top" wrapText="1"/>
    </xf>
    <xf numFmtId="0" fontId="14" fillId="0" borderId="35" xfId="0" applyFont="1" applyBorder="1" applyAlignment="1">
      <alignment vertical="top" wrapText="1"/>
    </xf>
    <xf numFmtId="166" fontId="14" fillId="0" borderId="35" xfId="0" applyNumberFormat="1" applyFont="1" applyBorder="1" applyAlignment="1">
      <alignment horizontal="right" wrapText="1"/>
    </xf>
    <xf numFmtId="166" fontId="14" fillId="0" borderId="27" xfId="0" applyNumberFormat="1" applyFont="1" applyBorder="1" applyAlignment="1">
      <alignment horizontal="right" wrapText="1"/>
    </xf>
    <xf numFmtId="0" fontId="14" fillId="10" borderId="36" xfId="0" applyFont="1" applyFill="1" applyBorder="1" applyAlignment="1">
      <alignment vertical="top" wrapText="1"/>
    </xf>
    <xf numFmtId="0" fontId="14" fillId="10" borderId="35" xfId="0" applyFont="1" applyFill="1" applyBorder="1" applyAlignment="1">
      <alignment vertical="top" wrapText="1"/>
    </xf>
    <xf numFmtId="166" fontId="14" fillId="10" borderId="35" xfId="0" applyNumberFormat="1" applyFont="1" applyFill="1" applyBorder="1" applyAlignment="1">
      <alignment horizontal="right" wrapText="1"/>
    </xf>
    <xf numFmtId="166" fontId="14" fillId="0" borderId="24" xfId="0" applyNumberFormat="1" applyFont="1" applyBorder="1" applyAlignment="1">
      <alignment horizontal="right" wrapText="1"/>
    </xf>
    <xf numFmtId="0" fontId="14" fillId="0" borderId="33" xfId="0" applyFont="1" applyBorder="1" applyAlignment="1">
      <alignment vertical="top" wrapText="1"/>
    </xf>
    <xf numFmtId="166" fontId="14" fillId="0" borderId="51" xfId="0" applyNumberFormat="1" applyFont="1" applyBorder="1" applyAlignment="1">
      <alignment horizontal="right" wrapText="1"/>
    </xf>
    <xf numFmtId="0" fontId="14" fillId="0" borderId="17" xfId="0" applyFont="1" applyBorder="1" applyAlignment="1">
      <alignment vertical="top" wrapText="1"/>
    </xf>
    <xf numFmtId="3" fontId="14" fillId="10" borderId="39" xfId="0" applyNumberFormat="1" applyFont="1" applyFill="1" applyBorder="1" applyAlignment="1">
      <alignment horizontal="right" vertical="top" wrapText="1"/>
    </xf>
    <xf numFmtId="166" fontId="10" fillId="7" borderId="13" xfId="0" applyNumberFormat="1" applyFont="1" applyFill="1" applyBorder="1" applyAlignment="1">
      <alignment horizontal="center" vertical="center" wrapText="1"/>
    </xf>
    <xf numFmtId="0" fontId="10" fillId="7" borderId="11" xfId="0" applyFont="1" applyFill="1" applyBorder="1" applyAlignment="1">
      <alignment horizontal="center" vertical="top" wrapText="1"/>
    </xf>
    <xf numFmtId="0" fontId="14" fillId="10" borderId="44" xfId="0" applyFont="1" applyFill="1" applyBorder="1" applyAlignment="1">
      <alignment vertical="top" wrapText="1"/>
    </xf>
    <xf numFmtId="166" fontId="14" fillId="11" borderId="21" xfId="0" applyNumberFormat="1" applyFont="1" applyFill="1" applyBorder="1" applyAlignment="1">
      <alignment horizontal="right" wrapText="1"/>
    </xf>
    <xf numFmtId="0" fontId="14" fillId="10" borderId="40" xfId="0" applyFont="1" applyFill="1" applyBorder="1" applyAlignment="1">
      <alignment vertical="top" wrapText="1"/>
    </xf>
    <xf numFmtId="166" fontId="10" fillId="7" borderId="11" xfId="0" applyNumberFormat="1" applyFont="1" applyFill="1" applyBorder="1" applyAlignment="1">
      <alignment horizontal="center" vertical="center" wrapText="1"/>
    </xf>
    <xf numFmtId="166" fontId="11" fillId="6" borderId="11" xfId="0" applyNumberFormat="1" applyFont="1" applyFill="1" applyBorder="1" applyAlignment="1">
      <alignment vertical="center" wrapText="1"/>
    </xf>
    <xf numFmtId="166" fontId="14" fillId="4" borderId="30" xfId="0" applyNumberFormat="1" applyFont="1" applyFill="1" applyBorder="1" applyAlignment="1" applyProtection="1">
      <alignment horizontal="right" wrapText="1"/>
      <protection locked="0"/>
    </xf>
    <xf numFmtId="166" fontId="14" fillId="4" borderId="35" xfId="0" applyNumberFormat="1" applyFont="1" applyFill="1" applyBorder="1" applyAlignment="1" applyProtection="1">
      <alignment horizontal="right" wrapText="1"/>
      <protection locked="0"/>
    </xf>
    <xf numFmtId="166" fontId="13" fillId="0" borderId="13" xfId="0" applyNumberFormat="1" applyFont="1" applyBorder="1" applyAlignment="1">
      <alignment horizontal="right"/>
    </xf>
    <xf numFmtId="3" fontId="11" fillId="6" borderId="13" xfId="0" applyNumberFormat="1" applyFont="1" applyFill="1" applyBorder="1" applyAlignment="1">
      <alignment horizontal="right" vertical="top" wrapText="1"/>
    </xf>
    <xf numFmtId="0" fontId="10" fillId="7" borderId="56" xfId="0" applyFont="1" applyFill="1" applyBorder="1" applyAlignment="1">
      <alignment horizontal="center" vertical="top" wrapText="1"/>
    </xf>
    <xf numFmtId="167" fontId="10" fillId="7" borderId="56" xfId="0" applyNumberFormat="1" applyFont="1" applyFill="1" applyBorder="1" applyAlignment="1">
      <alignment horizontal="center" vertical="top" wrapText="1"/>
    </xf>
    <xf numFmtId="165" fontId="10" fillId="7" borderId="56" xfId="0" applyNumberFormat="1" applyFont="1" applyFill="1" applyBorder="1" applyAlignment="1">
      <alignment horizontal="center" vertical="top" wrapText="1"/>
    </xf>
    <xf numFmtId="0" fontId="14" fillId="0" borderId="20" xfId="0" applyFont="1" applyBorder="1" applyAlignment="1">
      <alignment vertical="center" wrapText="1"/>
    </xf>
    <xf numFmtId="3" fontId="14" fillId="11" borderId="18" xfId="0" applyNumberFormat="1" applyFont="1" applyFill="1" applyBorder="1" applyAlignment="1">
      <alignment horizontal="center" vertical="top" wrapText="1"/>
    </xf>
    <xf numFmtId="3" fontId="14" fillId="11" borderId="19" xfId="0" applyNumberFormat="1" applyFont="1" applyFill="1" applyBorder="1" applyAlignment="1">
      <alignment horizontal="left" vertical="top" wrapText="1"/>
    </xf>
    <xf numFmtId="3" fontId="14" fillId="0" borderId="18" xfId="0" applyNumberFormat="1" applyFont="1" applyBorder="1" applyAlignment="1">
      <alignment horizontal="center" vertical="center" wrapText="1"/>
    </xf>
    <xf numFmtId="166" fontId="14" fillId="11" borderId="20" xfId="0" applyNumberFormat="1" applyFont="1" applyFill="1" applyBorder="1" applyAlignment="1">
      <alignment horizontal="right" wrapText="1"/>
    </xf>
    <xf numFmtId="166" fontId="14" fillId="10" borderId="30" xfId="0" applyNumberFormat="1" applyFont="1" applyFill="1" applyBorder="1" applyAlignment="1">
      <alignment horizontal="right" wrapText="1"/>
    </xf>
    <xf numFmtId="166" fontId="14" fillId="10" borderId="41" xfId="0" applyNumberFormat="1" applyFont="1" applyFill="1" applyBorder="1" applyAlignment="1">
      <alignment horizontal="right" wrapText="1"/>
    </xf>
    <xf numFmtId="166" fontId="10" fillId="7" borderId="11" xfId="0" applyNumberFormat="1" applyFont="1" applyFill="1" applyBorder="1" applyAlignment="1">
      <alignment horizontal="right" vertical="center" wrapText="1"/>
    </xf>
    <xf numFmtId="166" fontId="11" fillId="6" borderId="12" xfId="0" applyNumberFormat="1" applyFont="1" applyFill="1" applyBorder="1" applyAlignment="1">
      <alignment vertical="center" wrapText="1"/>
    </xf>
    <xf numFmtId="166" fontId="14" fillId="4" borderId="21" xfId="0" applyNumberFormat="1" applyFont="1" applyFill="1" applyBorder="1" applyAlignment="1" applyProtection="1">
      <alignment horizontal="right" wrapText="1"/>
      <protection locked="0"/>
    </xf>
    <xf numFmtId="3" fontId="14" fillId="10" borderId="10" xfId="0" applyNumberFormat="1" applyFont="1" applyFill="1" applyBorder="1" applyAlignment="1">
      <alignment horizontal="center" vertical="top" wrapText="1"/>
    </xf>
    <xf numFmtId="3" fontId="14" fillId="10" borderId="57" xfId="0" applyNumberFormat="1" applyFont="1" applyFill="1" applyBorder="1" applyAlignment="1">
      <alignment horizontal="left" vertical="top" wrapText="1"/>
    </xf>
    <xf numFmtId="0" fontId="14" fillId="10" borderId="58" xfId="0" applyFont="1" applyFill="1" applyBorder="1" applyAlignment="1">
      <alignment vertical="top" wrapText="1"/>
    </xf>
    <xf numFmtId="166" fontId="14" fillId="10" borderId="58" xfId="0" applyNumberFormat="1" applyFont="1" applyFill="1" applyBorder="1" applyAlignment="1">
      <alignment horizontal="right" wrapText="1"/>
    </xf>
    <xf numFmtId="166" fontId="14" fillId="10" borderId="59" xfId="0" applyNumberFormat="1" applyFont="1" applyFill="1" applyBorder="1" applyAlignment="1">
      <alignment horizontal="right" wrapText="1"/>
    </xf>
    <xf numFmtId="166" fontId="11" fillId="6" borderId="0" xfId="0" applyNumberFormat="1" applyFont="1" applyFill="1" applyAlignment="1">
      <alignment vertical="center" wrapText="1"/>
    </xf>
    <xf numFmtId="8" fontId="15" fillId="0" borderId="26" xfId="0" applyNumberFormat="1" applyFont="1" applyBorder="1" applyAlignment="1">
      <alignment horizontal="right" wrapText="1"/>
    </xf>
    <xf numFmtId="0" fontId="2" fillId="2" borderId="0" xfId="0" applyFont="1" applyFill="1" applyAlignment="1">
      <alignment horizontal="left" vertical="top"/>
    </xf>
    <xf numFmtId="4" fontId="0" fillId="0" borderId="0" xfId="0" applyNumberFormat="1"/>
    <xf numFmtId="164" fontId="0" fillId="0" borderId="0" xfId="0" applyNumberFormat="1"/>
    <xf numFmtId="49" fontId="4" fillId="4" borderId="8" xfId="0" applyNumberFormat="1" applyFont="1" applyFill="1" applyBorder="1"/>
    <xf numFmtId="3" fontId="3" fillId="0" borderId="3" xfId="0" applyNumberFormat="1" applyFont="1" applyBorder="1"/>
    <xf numFmtId="4" fontId="3" fillId="5" borderId="3" xfId="0" applyNumberFormat="1" applyFont="1" applyFill="1" applyBorder="1"/>
    <xf numFmtId="49" fontId="4" fillId="4" borderId="1" xfId="0" applyNumberFormat="1" applyFont="1" applyFill="1" applyBorder="1"/>
    <xf numFmtId="10" fontId="3" fillId="0" borderId="4" xfId="0" quotePrefix="1" applyNumberFormat="1" applyFont="1" applyBorder="1"/>
    <xf numFmtId="49" fontId="3" fillId="4" borderId="2" xfId="0" applyNumberFormat="1" applyFont="1" applyFill="1" applyBorder="1"/>
    <xf numFmtId="4" fontId="3" fillId="5" borderId="2" xfId="0" applyNumberFormat="1" applyFont="1" applyFill="1" applyBorder="1"/>
    <xf numFmtId="4" fontId="4" fillId="4" borderId="1" xfId="0" applyNumberFormat="1" applyFont="1" applyFill="1" applyBorder="1"/>
    <xf numFmtId="49" fontId="4" fillId="4" borderId="5" xfId="0" applyNumberFormat="1" applyFont="1" applyFill="1" applyBorder="1"/>
    <xf numFmtId="9" fontId="3" fillId="0" borderId="4" xfId="0" quotePrefix="1" applyNumberFormat="1" applyFont="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xf numFmtId="49" fontId="0" fillId="0" borderId="0" xfId="0" applyNumberFormat="1"/>
    <xf numFmtId="0" fontId="2" fillId="2" borderId="0" xfId="0" applyFont="1" applyFill="1"/>
    <xf numFmtId="4" fontId="2" fillId="2" borderId="0" xfId="0" applyNumberFormat="1" applyFont="1" applyFill="1"/>
    <xf numFmtId="49" fontId="19" fillId="0" borderId="0" xfId="0" applyNumberFormat="1" applyFont="1"/>
    <xf numFmtId="4" fontId="19" fillId="0" borderId="0" xfId="0" applyNumberFormat="1" applyFont="1"/>
    <xf numFmtId="4" fontId="20" fillId="0" borderId="0" xfId="0" applyNumberFormat="1" applyFont="1"/>
    <xf numFmtId="4" fontId="19" fillId="4" borderId="0" xfId="0" applyNumberFormat="1" applyFont="1" applyFill="1"/>
    <xf numFmtId="4" fontId="20" fillId="4" borderId="0" xfId="0" applyNumberFormat="1" applyFont="1" applyFill="1"/>
    <xf numFmtId="0" fontId="19" fillId="0" borderId="0" xfId="0" applyFont="1"/>
    <xf numFmtId="49" fontId="21" fillId="0" borderId="0" xfId="0" applyNumberFormat="1" applyFont="1"/>
    <xf numFmtId="4" fontId="21" fillId="0" borderId="0" xfId="0" applyNumberFormat="1" applyFont="1"/>
    <xf numFmtId="4" fontId="22" fillId="0" borderId="0" xfId="0" applyNumberFormat="1" applyFont="1"/>
    <xf numFmtId="4" fontId="21" fillId="4" borderId="0" xfId="0" applyNumberFormat="1" applyFont="1" applyFill="1"/>
    <xf numFmtId="0" fontId="21" fillId="0" borderId="0" xfId="0" applyFont="1"/>
    <xf numFmtId="49" fontId="23" fillId="0" borderId="0" xfId="0" applyNumberFormat="1" applyFont="1"/>
    <xf numFmtId="0" fontId="23" fillId="0" borderId="0" xfId="0" applyFont="1"/>
    <xf numFmtId="3" fontId="23" fillId="0" borderId="0" xfId="0" applyNumberFormat="1" applyFont="1"/>
    <xf numFmtId="4" fontId="23" fillId="0" borderId="0" xfId="0" applyNumberFormat="1" applyFont="1"/>
    <xf numFmtId="4" fontId="24" fillId="0" borderId="0" xfId="0" applyNumberFormat="1" applyFont="1"/>
    <xf numFmtId="4" fontId="23" fillId="4" borderId="0" xfId="0" applyNumberFormat="1" applyFont="1" applyFill="1"/>
    <xf numFmtId="4" fontId="24" fillId="4" borderId="0" xfId="0" applyNumberFormat="1" applyFont="1" applyFill="1"/>
    <xf numFmtId="3" fontId="0" fillId="0" borderId="0" xfId="0" applyNumberFormat="1"/>
    <xf numFmtId="4" fontId="3" fillId="0" borderId="0" xfId="0" applyNumberFormat="1" applyFont="1"/>
    <xf numFmtId="4" fontId="0" fillId="4" borderId="0" xfId="0" applyNumberFormat="1" applyFill="1"/>
    <xf numFmtId="4" fontId="3" fillId="4" borderId="0" xfId="0" applyNumberFormat="1" applyFont="1" applyFill="1"/>
    <xf numFmtId="3" fontId="21" fillId="0" borderId="0" xfId="0" applyNumberFormat="1" applyFont="1"/>
    <xf numFmtId="4" fontId="22" fillId="4" borderId="0" xfId="0" applyNumberFormat="1" applyFont="1" applyFill="1"/>
    <xf numFmtId="0" fontId="15" fillId="0" borderId="20" xfId="0" applyFont="1" applyBorder="1" applyAlignment="1">
      <alignment horizontal="left" vertical="top" wrapText="1"/>
    </xf>
    <xf numFmtId="0" fontId="15" fillId="0" borderId="26" xfId="0" applyFont="1" applyBorder="1" applyAlignment="1">
      <alignment horizontal="left" vertical="center" wrapText="1"/>
    </xf>
    <xf numFmtId="3" fontId="14" fillId="0" borderId="38" xfId="0" applyNumberFormat="1" applyFont="1" applyBorder="1" applyAlignment="1">
      <alignment horizontal="center" vertical="top" wrapText="1"/>
    </xf>
    <xf numFmtId="3" fontId="14" fillId="10" borderId="61" xfId="0" applyNumberFormat="1" applyFont="1" applyFill="1" applyBorder="1" applyAlignment="1">
      <alignment horizontal="center" vertical="top" wrapText="1"/>
    </xf>
    <xf numFmtId="3" fontId="14" fillId="10" borderId="62" xfId="0" applyNumberFormat="1" applyFont="1" applyFill="1" applyBorder="1" applyAlignment="1">
      <alignment horizontal="left" vertical="top" wrapText="1"/>
    </xf>
    <xf numFmtId="0" fontId="14" fillId="10" borderId="63" xfId="0" applyFont="1" applyFill="1" applyBorder="1" applyAlignment="1">
      <alignment vertical="top" wrapText="1"/>
    </xf>
    <xf numFmtId="166" fontId="14" fillId="10" borderId="64" xfId="0" applyNumberFormat="1" applyFont="1" applyFill="1" applyBorder="1" applyAlignment="1">
      <alignment horizontal="right" wrapText="1"/>
    </xf>
    <xf numFmtId="166" fontId="14" fillId="4" borderId="63" xfId="0" applyNumberFormat="1" applyFont="1" applyFill="1" applyBorder="1" applyAlignment="1" applyProtection="1">
      <alignment horizontal="right" wrapText="1"/>
      <protection locked="0"/>
    </xf>
    <xf numFmtId="3" fontId="14" fillId="0" borderId="46" xfId="0" applyNumberFormat="1" applyFont="1" applyBorder="1" applyAlignment="1">
      <alignment horizontal="center" vertical="top" wrapText="1"/>
    </xf>
    <xf numFmtId="166" fontId="10" fillId="10" borderId="0" xfId="0" applyNumberFormat="1" applyFont="1" applyFill="1" applyAlignment="1">
      <alignment horizontal="center" vertical="top" wrapText="1"/>
    </xf>
    <xf numFmtId="0" fontId="15" fillId="12" borderId="26" xfId="0" applyFont="1" applyFill="1" applyBorder="1" applyAlignment="1">
      <alignment horizontal="left" vertical="center" wrapText="1"/>
    </xf>
    <xf numFmtId="0" fontId="15" fillId="12" borderId="26" xfId="0" applyFont="1" applyFill="1" applyBorder="1" applyAlignment="1">
      <alignment horizontal="left" vertical="top" wrapText="1"/>
    </xf>
    <xf numFmtId="0" fontId="14" fillId="0" borderId="0" xfId="0" applyFont="1"/>
    <xf numFmtId="0" fontId="0" fillId="13" borderId="0" xfId="0" applyFill="1"/>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xf numFmtId="0" fontId="10" fillId="9" borderId="10" xfId="0" applyFont="1" applyFill="1" applyBorder="1" applyAlignment="1">
      <alignment horizontal="center" vertical="top" wrapText="1"/>
    </xf>
    <xf numFmtId="0" fontId="10" fillId="9" borderId="12" xfId="0" applyFont="1" applyFill="1" applyBorder="1" applyAlignment="1">
      <alignment horizontal="center" vertical="top" wrapText="1"/>
    </xf>
    <xf numFmtId="0" fontId="10" fillId="9" borderId="11" xfId="0" applyFont="1" applyFill="1" applyBorder="1" applyAlignment="1">
      <alignment horizontal="center" vertical="top" wrapText="1"/>
    </xf>
    <xf numFmtId="0" fontId="10" fillId="9" borderId="13" xfId="0" applyFont="1" applyFill="1" applyBorder="1" applyAlignment="1">
      <alignment horizontal="center" vertical="top" wrapText="1"/>
    </xf>
    <xf numFmtId="3" fontId="11" fillId="6" borderId="10" xfId="0" applyNumberFormat="1" applyFont="1" applyFill="1" applyBorder="1" applyAlignment="1">
      <alignment horizontal="left" vertical="top" wrapText="1"/>
    </xf>
    <xf numFmtId="3" fontId="11" fillId="6" borderId="12" xfId="0" applyNumberFormat="1" applyFont="1" applyFill="1" applyBorder="1" applyAlignment="1">
      <alignment horizontal="left" vertical="top" wrapText="1"/>
    </xf>
    <xf numFmtId="3" fontId="11" fillId="6" borderId="11" xfId="0" applyNumberFormat="1" applyFont="1" applyFill="1" applyBorder="1" applyAlignment="1">
      <alignment horizontal="left" vertical="top" wrapText="1"/>
    </xf>
    <xf numFmtId="3" fontId="10" fillId="7" borderId="13" xfId="0" applyNumberFormat="1" applyFont="1" applyFill="1" applyBorder="1" applyAlignment="1">
      <alignment horizontal="center" vertical="top" wrapText="1"/>
    </xf>
    <xf numFmtId="0" fontId="11" fillId="6" borderId="10" xfId="0" applyFont="1" applyFill="1" applyBorder="1" applyAlignment="1">
      <alignment horizontal="right" vertical="center" wrapText="1"/>
    </xf>
    <xf numFmtId="0" fontId="11" fillId="6" borderId="12" xfId="0" applyFont="1" applyFill="1" applyBorder="1" applyAlignment="1">
      <alignment horizontal="right" vertical="center" wrapText="1"/>
    </xf>
    <xf numFmtId="0" fontId="6" fillId="6" borderId="9" xfId="0" applyFont="1" applyFill="1" applyBorder="1" applyAlignment="1">
      <alignment horizontal="center" vertical="center" wrapText="1"/>
    </xf>
    <xf numFmtId="0" fontId="6" fillId="6" borderId="0" xfId="0" applyFont="1" applyFill="1" applyAlignment="1">
      <alignment horizontal="center" vertical="center" wrapText="1"/>
    </xf>
    <xf numFmtId="165" fontId="8" fillId="7" borderId="10" xfId="0" applyNumberFormat="1" applyFont="1" applyFill="1" applyBorder="1" applyAlignment="1">
      <alignment horizontal="center" vertical="top" wrapText="1"/>
    </xf>
    <xf numFmtId="165" fontId="9" fillId="7" borderId="11" xfId="0" applyNumberFormat="1" applyFont="1" applyFill="1" applyBorder="1" applyAlignment="1">
      <alignment horizontal="center" vertical="top" wrapText="1"/>
    </xf>
    <xf numFmtId="165" fontId="8" fillId="7" borderId="12" xfId="0" applyNumberFormat="1" applyFont="1" applyFill="1" applyBorder="1" applyAlignment="1">
      <alignment horizontal="center" vertical="top" wrapText="1"/>
    </xf>
    <xf numFmtId="0" fontId="14" fillId="8" borderId="13" xfId="0" applyFont="1" applyFill="1" applyBorder="1" applyAlignment="1">
      <alignment horizontal="left" vertical="center" wrapText="1"/>
    </xf>
    <xf numFmtId="0" fontId="10" fillId="9" borderId="13" xfId="0" applyFont="1" applyFill="1" applyBorder="1" applyAlignment="1">
      <alignment horizontal="left" vertical="top" wrapText="1"/>
    </xf>
    <xf numFmtId="0" fontId="14" fillId="9" borderId="42" xfId="0" applyFont="1" applyFill="1" applyBorder="1" applyAlignment="1">
      <alignment horizontal="left" vertical="top" wrapText="1"/>
    </xf>
    <xf numFmtId="0" fontId="14" fillId="9" borderId="50" xfId="0" applyFont="1" applyFill="1" applyBorder="1" applyAlignment="1">
      <alignment horizontal="left" vertical="top" wrapText="1"/>
    </xf>
    <xf numFmtId="0" fontId="14" fillId="9" borderId="10" xfId="0" applyFont="1" applyFill="1" applyBorder="1" applyAlignment="1">
      <alignment horizontal="center" vertical="top" wrapText="1"/>
    </xf>
    <xf numFmtId="0" fontId="14" fillId="9" borderId="12" xfId="0" applyFont="1" applyFill="1" applyBorder="1" applyAlignment="1">
      <alignment horizontal="center" vertical="top" wrapText="1"/>
    </xf>
    <xf numFmtId="0" fontId="14" fillId="9" borderId="11" xfId="0" applyFont="1" applyFill="1" applyBorder="1" applyAlignment="1">
      <alignment horizontal="center" vertical="top" wrapText="1"/>
    </xf>
    <xf numFmtId="3" fontId="11" fillId="6" borderId="14" xfId="0" applyNumberFormat="1" applyFont="1" applyFill="1" applyBorder="1" applyAlignment="1">
      <alignment horizontal="left" vertical="top" wrapText="1"/>
    </xf>
    <xf numFmtId="3" fontId="11" fillId="6" borderId="15" xfId="0" applyNumberFormat="1" applyFont="1" applyFill="1" applyBorder="1" applyAlignment="1">
      <alignment horizontal="left" vertical="top" wrapText="1"/>
    </xf>
    <xf numFmtId="3" fontId="11" fillId="6" borderId="32" xfId="0" applyNumberFormat="1" applyFont="1" applyFill="1" applyBorder="1" applyAlignment="1">
      <alignment horizontal="left" vertical="top" wrapText="1"/>
    </xf>
    <xf numFmtId="0" fontId="10" fillId="9" borderId="14" xfId="0" applyFont="1" applyFill="1" applyBorder="1" applyAlignment="1">
      <alignment horizontal="center" vertical="top" wrapText="1"/>
    </xf>
    <xf numFmtId="0" fontId="10" fillId="9" borderId="15" xfId="0" applyFont="1" applyFill="1" applyBorder="1" applyAlignment="1">
      <alignment horizontal="center" vertical="top" wrapText="1"/>
    </xf>
    <xf numFmtId="0" fontId="10" fillId="9" borderId="32" xfId="0" applyFont="1" applyFill="1" applyBorder="1" applyAlignment="1">
      <alignment horizontal="center" vertical="top" wrapText="1"/>
    </xf>
    <xf numFmtId="0" fontId="14" fillId="9" borderId="31" xfId="0" applyFont="1" applyFill="1" applyBorder="1" applyAlignment="1">
      <alignment horizontal="center" vertical="top" wrapText="1"/>
    </xf>
    <xf numFmtId="0" fontId="14" fillId="9" borderId="0" xfId="0" applyFont="1" applyFill="1" applyAlignment="1">
      <alignment horizontal="center" vertical="top" wrapText="1"/>
    </xf>
    <xf numFmtId="0" fontId="14" fillId="9" borderId="24" xfId="0" applyFont="1" applyFill="1" applyBorder="1" applyAlignment="1">
      <alignment horizontal="center" vertical="top" wrapText="1"/>
    </xf>
    <xf numFmtId="0" fontId="14" fillId="9" borderId="46" xfId="0" applyFont="1" applyFill="1" applyBorder="1" applyAlignment="1">
      <alignment horizontal="center" vertical="top" wrapText="1"/>
    </xf>
    <xf numFmtId="0" fontId="14" fillId="9" borderId="53" xfId="0" applyFont="1" applyFill="1" applyBorder="1" applyAlignment="1">
      <alignment horizontal="center" vertical="top" wrapText="1"/>
    </xf>
    <xf numFmtId="0" fontId="14" fillId="9" borderId="60" xfId="0" applyFont="1" applyFill="1" applyBorder="1" applyAlignment="1">
      <alignment horizontal="center" vertical="top" wrapText="1"/>
    </xf>
    <xf numFmtId="165" fontId="8" fillId="7" borderId="13" xfId="0" applyNumberFormat="1" applyFont="1" applyFill="1" applyBorder="1" applyAlignment="1">
      <alignment horizontal="center" vertical="top" wrapText="1"/>
    </xf>
    <xf numFmtId="165" fontId="9" fillId="7" borderId="12" xfId="0" applyNumberFormat="1" applyFont="1" applyFill="1" applyBorder="1" applyAlignment="1">
      <alignment horizontal="center" vertical="top" wrapText="1"/>
    </xf>
    <xf numFmtId="0" fontId="14" fillId="8" borderId="10" xfId="0" applyFont="1" applyFill="1" applyBorder="1" applyAlignment="1">
      <alignment horizontal="center" vertical="center" wrapText="1"/>
    </xf>
    <xf numFmtId="0" fontId="14" fillId="8" borderId="11" xfId="0" applyFont="1" applyFill="1" applyBorder="1" applyAlignment="1">
      <alignment horizontal="center" vertical="center" wrapText="1"/>
    </xf>
    <xf numFmtId="3" fontId="10" fillId="7" borderId="56" xfId="0" applyNumberFormat="1" applyFont="1" applyFill="1" applyBorder="1" applyAlignment="1">
      <alignment horizontal="center" vertical="top" wrapText="1"/>
    </xf>
    <xf numFmtId="165" fontId="8" fillId="7" borderId="11" xfId="0" applyNumberFormat="1" applyFont="1" applyFill="1" applyBorder="1" applyAlignment="1">
      <alignment horizontal="center" vertical="top" wrapText="1"/>
    </xf>
    <xf numFmtId="0" fontId="14" fillId="8" borderId="10" xfId="0" applyFont="1" applyFill="1" applyBorder="1" applyAlignment="1">
      <alignment horizontal="left" vertical="center" wrapText="1"/>
    </xf>
    <xf numFmtId="0" fontId="14" fillId="8" borderId="11" xfId="0" applyFont="1" applyFill="1" applyBorder="1" applyAlignment="1">
      <alignment horizontal="left" vertical="center" wrapText="1"/>
    </xf>
    <xf numFmtId="3" fontId="10" fillId="7" borderId="10" xfId="0" applyNumberFormat="1" applyFont="1" applyFill="1" applyBorder="1" applyAlignment="1">
      <alignment horizontal="center" vertical="top" wrapText="1"/>
    </xf>
    <xf numFmtId="3" fontId="10" fillId="7" borderId="11" xfId="0" applyNumberFormat="1" applyFont="1" applyFill="1" applyBorder="1" applyAlignment="1">
      <alignment horizontal="center" vertical="top" wrapText="1"/>
    </xf>
  </cellXfs>
  <cellStyles count="3">
    <cellStyle name="Moneda" xfId="1" builtinId="4"/>
    <cellStyle name="Moneda 2" xfId="2" xr:uid="{2ED1F68C-E167-45D3-A246-4C291D59E02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132531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1256574</xdr:colOff>
      <xdr:row>6</xdr:row>
      <xdr:rowOff>275495</xdr:rowOff>
    </xdr:to>
    <xdr:pic>
      <xdr:nvPicPr>
        <xdr:cNvPr id="2" name="Imagen 1">
          <a:extLst>
            <a:ext uri="{FF2B5EF4-FFF2-40B4-BE49-F238E27FC236}">
              <a16:creationId xmlns:a16="http://schemas.microsoft.com/office/drawing/2014/main" id="{9413C120-DDF0-4B34-9AE7-1D925F4275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923324" cy="139645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2296886</xdr:colOff>
      <xdr:row>0</xdr:row>
      <xdr:rowOff>141514</xdr:rowOff>
    </xdr:from>
    <xdr:ext cx="184731" cy="264560"/>
    <xdr:sp macro="" textlink="">
      <xdr:nvSpPr>
        <xdr:cNvPr id="2" name="CuadroTexto 1">
          <a:extLst>
            <a:ext uri="{FF2B5EF4-FFF2-40B4-BE49-F238E27FC236}">
              <a16:creationId xmlns:a16="http://schemas.microsoft.com/office/drawing/2014/main" id="{0A7C5D7E-127E-45B1-9E8A-5B5A42C2DA49}"/>
            </a:ext>
          </a:extLst>
        </xdr:cNvPr>
        <xdr:cNvSpPr txBox="1"/>
      </xdr:nvSpPr>
      <xdr:spPr>
        <a:xfrm>
          <a:off x="2963636" y="1415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twoCellAnchor editAs="absolute">
    <xdr:from>
      <xdr:col>0</xdr:col>
      <xdr:colOff>0</xdr:colOff>
      <xdr:row>0</xdr:row>
      <xdr:rowOff>0</xdr:rowOff>
    </xdr:from>
    <xdr:to>
      <xdr:col>2</xdr:col>
      <xdr:colOff>1256574</xdr:colOff>
      <xdr:row>8</xdr:row>
      <xdr:rowOff>51377</xdr:rowOff>
    </xdr:to>
    <xdr:pic>
      <xdr:nvPicPr>
        <xdr:cNvPr id="3" name="Imagen 2">
          <a:extLst>
            <a:ext uri="{FF2B5EF4-FFF2-40B4-BE49-F238E27FC236}">
              <a16:creationId xmlns:a16="http://schemas.microsoft.com/office/drawing/2014/main" id="{666EF815-FE07-4191-929F-D984A381DD0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923324" cy="135200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2</xdr:col>
      <xdr:colOff>2296886</xdr:colOff>
      <xdr:row>0</xdr:row>
      <xdr:rowOff>141514</xdr:rowOff>
    </xdr:from>
    <xdr:ext cx="184731" cy="264560"/>
    <xdr:sp macro="" textlink="">
      <xdr:nvSpPr>
        <xdr:cNvPr id="2" name="CuadroTexto 1">
          <a:extLst>
            <a:ext uri="{FF2B5EF4-FFF2-40B4-BE49-F238E27FC236}">
              <a16:creationId xmlns:a16="http://schemas.microsoft.com/office/drawing/2014/main" id="{DDCC90D6-5EDE-4FF6-924E-0C1A6B71B0D4}"/>
            </a:ext>
          </a:extLst>
        </xdr:cNvPr>
        <xdr:cNvSpPr txBox="1"/>
      </xdr:nvSpPr>
      <xdr:spPr>
        <a:xfrm>
          <a:off x="2963636" y="1415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twoCellAnchor editAs="absolute">
    <xdr:from>
      <xdr:col>0</xdr:col>
      <xdr:colOff>0</xdr:colOff>
      <xdr:row>0</xdr:row>
      <xdr:rowOff>0</xdr:rowOff>
    </xdr:from>
    <xdr:to>
      <xdr:col>2</xdr:col>
      <xdr:colOff>1256574</xdr:colOff>
      <xdr:row>7</xdr:row>
      <xdr:rowOff>107406</xdr:rowOff>
    </xdr:to>
    <xdr:pic>
      <xdr:nvPicPr>
        <xdr:cNvPr id="3" name="Imagen 2">
          <a:extLst>
            <a:ext uri="{FF2B5EF4-FFF2-40B4-BE49-F238E27FC236}">
              <a16:creationId xmlns:a16="http://schemas.microsoft.com/office/drawing/2014/main" id="{B9AA43A2-2AEF-4E3E-855C-D8D081D71DE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923324" cy="135200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1259637</xdr:colOff>
      <xdr:row>7</xdr:row>
      <xdr:rowOff>94931</xdr:rowOff>
    </xdr:to>
    <xdr:pic>
      <xdr:nvPicPr>
        <xdr:cNvPr id="2" name="Imagen 1">
          <a:extLst>
            <a:ext uri="{FF2B5EF4-FFF2-40B4-BE49-F238E27FC236}">
              <a16:creationId xmlns:a16="http://schemas.microsoft.com/office/drawing/2014/main" id="{C10DA9E2-0D96-4B90-BFF9-B45ABADF83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926387" cy="1395186"/>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I277"/>
  <sheetViews>
    <sheetView showGridLines="0" showRowColHeaders="0" tabSelected="1" zoomScaleNormal="100" workbookViewId="0">
      <selection activeCell="F4" sqref="F4"/>
    </sheetView>
  </sheetViews>
  <sheetFormatPr baseColWidth="10" defaultColWidth="11.42578125" defaultRowHeight="15" x14ac:dyDescent="0.25"/>
  <cols>
    <col min="1" max="1" width="20.140625" customWidth="1"/>
    <col min="2" max="2" width="12.140625" bestFit="1" customWidth="1"/>
    <col min="3" max="3" width="45.7109375" customWidth="1"/>
    <col min="4" max="4" width="15.140625" customWidth="1"/>
    <col min="5" max="5" width="28.42578125" style="148" bestFit="1" customWidth="1"/>
    <col min="6" max="6" width="18" style="148" bestFit="1" customWidth="1"/>
    <col min="7" max="7" width="22.5703125" style="149" customWidth="1"/>
    <col min="8" max="8" width="19.7109375" bestFit="1" customWidth="1"/>
    <col min="9" max="9" width="18.7109375" style="148" customWidth="1"/>
    <col min="10" max="10" width="13.85546875" bestFit="1" customWidth="1"/>
  </cols>
  <sheetData>
    <row r="1" spans="1:9" ht="15.75" thickBot="1" x14ac:dyDescent="0.3">
      <c r="D1" s="147" t="s">
        <v>0</v>
      </c>
      <c r="H1" s="147" t="s">
        <v>1</v>
      </c>
    </row>
    <row r="2" spans="1:9" ht="15.75" thickBot="1" x14ac:dyDescent="0.3">
      <c r="A2" s="150" t="s">
        <v>2</v>
      </c>
      <c r="B2" s="151">
        <v>1</v>
      </c>
    </row>
    <row r="3" spans="1:9" ht="15" customHeight="1" thickBot="1" x14ac:dyDescent="0.3">
      <c r="A3" s="206" t="s">
        <v>3</v>
      </c>
      <c r="B3" s="207"/>
      <c r="C3" s="208"/>
      <c r="D3" s="152">
        <f>ROUND(D6-D5-D4,2)</f>
        <v>781691.45</v>
      </c>
      <c r="E3" s="206" t="s">
        <v>4</v>
      </c>
      <c r="F3" s="207"/>
      <c r="G3" s="208"/>
      <c r="H3" s="152">
        <f>ROUND(H6-H5-H4,2)</f>
        <v>25325.74</v>
      </c>
    </row>
    <row r="4" spans="1:9" ht="15" customHeight="1" thickBot="1" x14ac:dyDescent="0.3">
      <c r="A4" s="153" t="s">
        <v>5</v>
      </c>
      <c r="B4" s="154">
        <v>0.06</v>
      </c>
      <c r="C4" s="155" t="s">
        <v>6</v>
      </c>
      <c r="D4" s="156">
        <f>ROUND((D6/(1+B5+B4))*B4,2)</f>
        <v>46901.49</v>
      </c>
      <c r="E4" s="157" t="s">
        <v>7</v>
      </c>
      <c r="F4" s="8"/>
      <c r="G4" s="155" t="s">
        <v>6</v>
      </c>
      <c r="H4" s="156">
        <f>ROUND((H6/(1+F5+F4))*F4,2)</f>
        <v>0</v>
      </c>
    </row>
    <row r="5" spans="1:9" ht="15.75" thickBot="1" x14ac:dyDescent="0.3">
      <c r="A5" s="153" t="s">
        <v>8</v>
      </c>
      <c r="B5" s="154">
        <v>0.09</v>
      </c>
      <c r="C5" s="155" t="s">
        <v>9</v>
      </c>
      <c r="D5" s="156">
        <f>ROUND((D6/(1+B4+B5))*B5,2)</f>
        <v>70352.23</v>
      </c>
      <c r="E5" s="157" t="s">
        <v>10</v>
      </c>
      <c r="F5" s="8"/>
      <c r="G5" s="155" t="s">
        <v>9</v>
      </c>
      <c r="H5" s="156">
        <f>ROUND((H6/(1+F5+F4))*F5,2)</f>
        <v>0</v>
      </c>
    </row>
    <row r="6" spans="1:9" ht="15.75" thickBot="1" x14ac:dyDescent="0.3">
      <c r="A6" s="209" t="s">
        <v>11</v>
      </c>
      <c r="B6" s="210"/>
      <c r="C6" s="211"/>
      <c r="D6" s="156">
        <f>SUM(G:G)</f>
        <v>898945.17</v>
      </c>
      <c r="E6" s="209" t="s">
        <v>12</v>
      </c>
      <c r="F6" s="210"/>
      <c r="G6" s="211"/>
      <c r="H6" s="156">
        <f>SUM(I:I)</f>
        <v>25325.738000000001</v>
      </c>
    </row>
    <row r="7" spans="1:9" ht="15.75" thickBot="1" x14ac:dyDescent="0.3">
      <c r="A7" s="158" t="s">
        <v>13</v>
      </c>
      <c r="B7" s="159">
        <v>0.21</v>
      </c>
      <c r="C7" s="155" t="s">
        <v>14</v>
      </c>
      <c r="D7" s="156">
        <f>ROUND($D$6*B7,2)</f>
        <v>188778.49</v>
      </c>
      <c r="E7" s="160" t="s">
        <v>13</v>
      </c>
      <c r="F7" s="161">
        <f>B7</f>
        <v>0.21</v>
      </c>
      <c r="G7" s="155" t="s">
        <v>14</v>
      </c>
      <c r="H7" s="156">
        <f>ROUND($H$6*F7,2)</f>
        <v>5318.4</v>
      </c>
    </row>
    <row r="8" spans="1:9" ht="15.75" thickBot="1" x14ac:dyDescent="0.3">
      <c r="A8" s="212" t="s">
        <v>15</v>
      </c>
      <c r="B8" s="213"/>
      <c r="C8" s="214"/>
      <c r="D8" s="162">
        <f>SUM(D6:D7)</f>
        <v>1087723.6600000001</v>
      </c>
      <c r="E8" s="212" t="s">
        <v>16</v>
      </c>
      <c r="F8" s="213"/>
      <c r="G8" s="214"/>
      <c r="H8" s="162">
        <f>SUM(H6:H7)</f>
        <v>30644.137999999999</v>
      </c>
    </row>
    <row r="9" spans="1:9" ht="15.75" thickBot="1" x14ac:dyDescent="0.3"/>
    <row r="10" spans="1:9" ht="15.75" thickBot="1" x14ac:dyDescent="0.3">
      <c r="A10" s="163"/>
      <c r="F10" s="204" t="s">
        <v>17</v>
      </c>
      <c r="G10" s="205"/>
      <c r="H10" s="204" t="s">
        <v>18</v>
      </c>
      <c r="I10" s="205"/>
    </row>
    <row r="11" spans="1:9" x14ac:dyDescent="0.25">
      <c r="A11" s="164" t="s">
        <v>19</v>
      </c>
      <c r="B11" s="164" t="s">
        <v>20</v>
      </c>
      <c r="C11" s="164" t="s">
        <v>21</v>
      </c>
      <c r="D11" s="164" t="s">
        <v>22</v>
      </c>
      <c r="E11" s="165" t="s">
        <v>23</v>
      </c>
      <c r="F11" s="165" t="s">
        <v>24</v>
      </c>
      <c r="G11" s="164" t="s">
        <v>25</v>
      </c>
      <c r="H11" s="164" t="s">
        <v>26</v>
      </c>
      <c r="I11" s="164" t="s">
        <v>27</v>
      </c>
    </row>
    <row r="12" spans="1:9" s="171" customFormat="1" x14ac:dyDescent="0.25">
      <c r="A12" s="166" t="s">
        <v>28</v>
      </c>
      <c r="B12" s="166" t="s">
        <v>29</v>
      </c>
      <c r="C12" s="166" t="s">
        <v>420</v>
      </c>
      <c r="D12" s="166"/>
      <c r="E12" s="167"/>
      <c r="F12" s="168"/>
      <c r="G12" s="169"/>
      <c r="H12" s="170"/>
      <c r="I12" s="170"/>
    </row>
    <row r="13" spans="1:9" s="176" customFormat="1" x14ac:dyDescent="0.25">
      <c r="A13" s="172" t="s">
        <v>30</v>
      </c>
      <c r="B13" s="172" t="s">
        <v>31</v>
      </c>
      <c r="C13" s="172" t="s">
        <v>37</v>
      </c>
      <c r="D13" s="172"/>
      <c r="E13" s="173"/>
      <c r="F13" s="174"/>
      <c r="G13" s="175"/>
      <c r="H13" s="175"/>
      <c r="I13" s="175"/>
    </row>
    <row r="14" spans="1:9" s="178" customFormat="1" x14ac:dyDescent="0.25">
      <c r="A14" s="177" t="s">
        <v>283</v>
      </c>
      <c r="B14" s="178" t="s">
        <v>38</v>
      </c>
      <c r="C14" s="179" t="str">
        <f>'Desmontaje e Infraestructura'!C13</f>
        <v>1.- Desmontaje</v>
      </c>
      <c r="E14" s="180"/>
      <c r="F14" s="181"/>
      <c r="G14" s="182"/>
      <c r="H14" s="183"/>
      <c r="I14" s="183"/>
    </row>
    <row r="15" spans="1:9" x14ac:dyDescent="0.25">
      <c r="A15" s="163"/>
      <c r="B15" t="s">
        <v>277</v>
      </c>
      <c r="C15" s="184" t="str">
        <f>'Desmontaje e Infraestructura'!C26</f>
        <v>Partida de mano de obra para desmontaje de cámaras y cableado</v>
      </c>
      <c r="D15" t="s">
        <v>33</v>
      </c>
      <c r="E15" s="148">
        <f>'Desmontaje e Infraestructura'!A26</f>
        <v>60</v>
      </c>
      <c r="F15" s="185">
        <f>'Desmontaje e Infraestructura'!E26</f>
        <v>100</v>
      </c>
      <c r="G15" s="186">
        <f>ROUND(F15*E15,2)</f>
        <v>6000</v>
      </c>
      <c r="H15" s="187">
        <f>'Desmontaje e Infraestructura'!J26</f>
        <v>0</v>
      </c>
      <c r="I15" s="187">
        <f>'Desmontaje e Infraestructura'!K26</f>
        <v>0</v>
      </c>
    </row>
    <row r="16" spans="1:9" x14ac:dyDescent="0.25">
      <c r="A16" s="163"/>
      <c r="B16" t="s">
        <v>278</v>
      </c>
      <c r="C16" s="184" t="str">
        <f>'Desmontaje e Infraestructura'!C27</f>
        <v>Partida de mano de obra para desmontaje de armarios y cableado</v>
      </c>
      <c r="D16" t="s">
        <v>33</v>
      </c>
      <c r="E16" s="148">
        <f>'Desmontaje e Infraestructura'!A27</f>
        <v>20</v>
      </c>
      <c r="F16" s="185">
        <f>'Desmontaje e Infraestructura'!E27</f>
        <v>200</v>
      </c>
      <c r="G16" s="186">
        <f t="shared" ref="G16:G76" si="0">ROUND(F16*E16,2)</f>
        <v>4000</v>
      </c>
      <c r="H16" s="187">
        <f>'Desmontaje e Infraestructura'!J27</f>
        <v>0</v>
      </c>
      <c r="I16" s="187">
        <f>'Desmontaje e Infraestructura'!K27</f>
        <v>0</v>
      </c>
    </row>
    <row r="17" spans="1:9" x14ac:dyDescent="0.25">
      <c r="B17" t="s">
        <v>279</v>
      </c>
      <c r="C17" s="184" t="str">
        <f>'Desmontaje e Infraestructura'!C28</f>
        <v>Partida de mano de obra para desmontaje equipos centro control</v>
      </c>
      <c r="D17" t="s">
        <v>33</v>
      </c>
      <c r="E17" s="148">
        <f>'Desmontaje e Infraestructura'!A28</f>
        <v>1</v>
      </c>
      <c r="F17" s="185">
        <f>'Desmontaje e Infraestructura'!E28</f>
        <v>800</v>
      </c>
      <c r="G17" s="186">
        <f t="shared" si="0"/>
        <v>800</v>
      </c>
      <c r="H17" s="187">
        <f>'Desmontaje e Infraestructura'!J28</f>
        <v>0</v>
      </c>
      <c r="I17" s="187">
        <f>'Desmontaje e Infraestructura'!K28</f>
        <v>0</v>
      </c>
    </row>
    <row r="18" spans="1:9" x14ac:dyDescent="0.25">
      <c r="B18" t="s">
        <v>280</v>
      </c>
      <c r="C18" s="184" t="str">
        <f>'Desmontaje e Infraestructura'!C29</f>
        <v>Partida de mano de obra para desmontaje de báculo fijo</v>
      </c>
      <c r="D18" t="s">
        <v>33</v>
      </c>
      <c r="E18" s="148">
        <f>'Desmontaje e Infraestructura'!A29</f>
        <v>10</v>
      </c>
      <c r="F18" s="185">
        <f>'Desmontaje e Infraestructura'!E29</f>
        <v>66</v>
      </c>
      <c r="G18" s="186">
        <f t="shared" si="0"/>
        <v>660</v>
      </c>
      <c r="H18" s="187">
        <f>'Desmontaje e Infraestructura'!J29</f>
        <v>0</v>
      </c>
      <c r="I18" s="187">
        <f>'Desmontaje e Infraestructura'!K29</f>
        <v>0</v>
      </c>
    </row>
    <row r="19" spans="1:9" x14ac:dyDescent="0.25">
      <c r="B19" t="s">
        <v>281</v>
      </c>
      <c r="C19" s="184" t="str">
        <f>'Desmontaje e Infraestructura'!C30</f>
        <v>Partida de mano de obra para desmontaje de tubo de acero en pared</v>
      </c>
      <c r="D19" t="s">
        <v>33</v>
      </c>
      <c r="E19" s="148">
        <f>'Desmontaje e Infraestructura'!A30</f>
        <v>500</v>
      </c>
      <c r="F19" s="185">
        <f>'Desmontaje e Infraestructura'!E30</f>
        <v>1.5</v>
      </c>
      <c r="G19" s="186">
        <f t="shared" si="0"/>
        <v>750</v>
      </c>
      <c r="H19" s="187">
        <f>'Desmontaje e Infraestructura'!J30</f>
        <v>0</v>
      </c>
      <c r="I19" s="187">
        <f>'Desmontaje e Infraestructura'!K30</f>
        <v>0</v>
      </c>
    </row>
    <row r="20" spans="1:9" x14ac:dyDescent="0.25">
      <c r="B20" t="s">
        <v>498</v>
      </c>
      <c r="C20" s="184" t="str">
        <f>'Desmontaje e Infraestructura'!C31</f>
        <v>Partida de mano de obra para desmontaje de cajas en pared</v>
      </c>
      <c r="D20" t="s">
        <v>33</v>
      </c>
      <c r="E20" s="148">
        <f>'Desmontaje e Infraestructura'!A31</f>
        <v>20</v>
      </c>
      <c r="F20" s="185">
        <f>'Desmontaje e Infraestructura'!E31</f>
        <v>50</v>
      </c>
      <c r="G20" s="186">
        <f t="shared" si="0"/>
        <v>1000</v>
      </c>
      <c r="H20" s="187">
        <f>'Desmontaje e Infraestructura'!J31</f>
        <v>0</v>
      </c>
      <c r="I20" s="187">
        <f>'Desmontaje e Infraestructura'!K31</f>
        <v>0</v>
      </c>
    </row>
    <row r="21" spans="1:9" s="178" customFormat="1" x14ac:dyDescent="0.25">
      <c r="A21" s="178" t="s">
        <v>282</v>
      </c>
      <c r="B21" s="178" t="s">
        <v>39</v>
      </c>
      <c r="C21" s="179" t="s">
        <v>73</v>
      </c>
      <c r="E21" s="180"/>
      <c r="F21" s="181"/>
      <c r="G21" s="186"/>
      <c r="H21" s="183"/>
      <c r="I21" s="183"/>
    </row>
    <row r="22" spans="1:9" x14ac:dyDescent="0.25">
      <c r="B22" t="s">
        <v>284</v>
      </c>
      <c r="C22" s="184" t="str">
        <f>'Desmontaje e Infraestructura'!C36</f>
        <v>Canalización subterránea enterrada bajo acera, hormigón, asfalto en zona de tráfico, en zanja de 40 cm de ancho y 60 cm de profundidad de dimensiones mínimas, para canalización de líneas eléctricas en baja tensión. Incluye apertura y excavación de la zanja por medios mecánicos, formación de cuna de arena de río de 5 cm de espesor, colocación de los tubos, relleno de costados y tapado de tubos con arena de río, colocación de cinta de señalización, y relleno de zanja y compactado con las tierras procedentes de la excavación, hasta el nivel base del pavimento (solera, acera, etc). Totalmente terminada; i/p.p. de limpieza y medios auxiliares. Pavimento incluido.</v>
      </c>
      <c r="D22" t="s">
        <v>33</v>
      </c>
      <c r="E22" s="148">
        <f>'Desmontaje e Infraestructura'!A36</f>
        <v>250</v>
      </c>
      <c r="F22" s="185">
        <f>'Desmontaje e Infraestructura'!E36</f>
        <v>42</v>
      </c>
      <c r="G22" s="186">
        <f t="shared" si="0"/>
        <v>10500</v>
      </c>
      <c r="H22" s="187">
        <f>'Desmontaje e Infraestructura'!J36</f>
        <v>0</v>
      </c>
      <c r="I22" s="187">
        <f>'Desmontaje e Infraestructura'!K36</f>
        <v>0</v>
      </c>
    </row>
    <row r="23" spans="1:9" x14ac:dyDescent="0.25">
      <c r="B23" t="s">
        <v>287</v>
      </c>
      <c r="C23" s="184" t="str">
        <f>'Desmontaje e Infraestructura'!C37</f>
        <v>Canalización subterránea enterrada bajo tierra y/o jardín, en zanja de 40 cm de ancho y 60 cm de profundidad de dimensiones mínimas, para canalización de líneas eléctricas en baja tensión. Incluye apertura y excavación de la zanja por medios mecánicos, formación de cuna de arena de río de 5 cm de espesor, colocación de los tubos, relleno de costados y tapado de tubos con arena de río, colocación de cinta de señalización, y relleno de zanja y compactado con las tierras procedentes de la excavación, hasta el nivel base del pavimento (solera, acera, etc). Totalmente terminada; i/p.p. de limpieza y medios auxiliares. Pavimento incluido.</v>
      </c>
      <c r="D23" t="s">
        <v>33</v>
      </c>
      <c r="E23" s="148">
        <f>'Desmontaje e Infraestructura'!A37</f>
        <v>500</v>
      </c>
      <c r="F23" s="185">
        <f>'Desmontaje e Infraestructura'!E37</f>
        <v>28</v>
      </c>
      <c r="G23" s="186">
        <f t="shared" si="0"/>
        <v>14000</v>
      </c>
      <c r="H23" s="187">
        <f>'Desmontaje e Infraestructura'!J37</f>
        <v>0</v>
      </c>
      <c r="I23" s="187">
        <f>'Desmontaje e Infraestructura'!K37</f>
        <v>0</v>
      </c>
    </row>
    <row r="24" spans="1:9" x14ac:dyDescent="0.25">
      <c r="B24" t="s">
        <v>288</v>
      </c>
      <c r="C24" s="184" t="str">
        <f>'Desmontaje e Infraestructura'!C38</f>
        <v>Canalización de tubo flexible de polietileno de alta densidad (PEAD)
de doble pared, no propagador de la llama, indicado para instalaciones de enlace y acometidas, de diámetro 63 mm; fabricado conforme a UNE-EN 61386-1, UNE-EN 61386-2-2 y UNE-EN 61386-2-4, con resistencia a compresión de 320 N. Instalado en zanja. Totalmente montado; i/p.p. de anclajes, cajas y accesorios.
Conforme a REBT: ITC-BT-11, ITC-BT-17, ITC-BT-21 e ITC-BT-28.</v>
      </c>
      <c r="D24" t="s">
        <v>33</v>
      </c>
      <c r="E24" s="148">
        <f>'Desmontaje e Infraestructura'!A38</f>
        <v>750</v>
      </c>
      <c r="F24" s="185">
        <f>'Desmontaje e Infraestructura'!E38</f>
        <v>8.56</v>
      </c>
      <c r="G24" s="186">
        <f t="shared" si="0"/>
        <v>6420</v>
      </c>
      <c r="H24" s="187">
        <f>'Desmontaje e Infraestructura'!J38</f>
        <v>0</v>
      </c>
      <c r="I24" s="187">
        <f>'Desmontaje e Infraestructura'!K38</f>
        <v>0</v>
      </c>
    </row>
    <row r="25" spans="1:9" x14ac:dyDescent="0.25">
      <c r="B25" t="s">
        <v>285</v>
      </c>
      <c r="C25" s="184" t="str">
        <f>'Desmontaje e Infraestructura'!C39</f>
        <v>Suministro e instalación de tubo acero indicado para instalaciones
exteriores de enlace y acometidas, de diámetro 32 mm, Instalado en superficie sobre paramentos mediante soportes de tipo abrazadera separados cada 50 cm como máximo. Totalmente montado; i/p.p. de anclajes, cajas de conexión y accesorios de montaje.</v>
      </c>
      <c r="D25" t="s">
        <v>33</v>
      </c>
      <c r="E25" s="148">
        <f>'Desmontaje e Infraestructura'!A39</f>
        <v>400</v>
      </c>
      <c r="F25" s="185">
        <f>'Desmontaje e Infraestructura'!E39</f>
        <v>16.579999999999998</v>
      </c>
      <c r="G25" s="186">
        <f t="shared" si="0"/>
        <v>6632</v>
      </c>
      <c r="H25" s="187">
        <f>'Desmontaje e Infraestructura'!J39</f>
        <v>0</v>
      </c>
      <c r="I25" s="187">
        <f>'Desmontaje e Infraestructura'!K39</f>
        <v>0</v>
      </c>
    </row>
    <row r="26" spans="1:9" x14ac:dyDescent="0.25">
      <c r="B26" t="s">
        <v>289</v>
      </c>
      <c r="C26" s="184" t="str">
        <f>'Desmontaje e Infraestructura'!C40</f>
        <v xml:space="preserve">Arqueta de paso en canalización externa enterrada pefabricada de
hormigón de 400x400x400 mm de medidas interiores, colocada sobre solera de hormigón en masa HM-20 de 10 cm de espesor, incluso p.p. de formación de agujeros para conexionado de tubos, medios auxiliares así como excavación en terreno compacto, relleno lateral posterior y transporte de tierras sobrantes a vertedero. Incluida mano de obra para apertura de canalización existente y conectado de canalizaciones con arqueta. Totalmente terminado, según RD 346/2011.
</v>
      </c>
      <c r="D26" t="s">
        <v>33</v>
      </c>
      <c r="E26" s="148">
        <f>'Desmontaje e Infraestructura'!A40</f>
        <v>8</v>
      </c>
      <c r="F26" s="185">
        <f>'Desmontaje e Infraestructura'!E40</f>
        <v>203.25</v>
      </c>
      <c r="G26" s="186">
        <f t="shared" si="0"/>
        <v>1626</v>
      </c>
      <c r="H26" s="187">
        <f>'Desmontaje e Infraestructura'!J40</f>
        <v>0</v>
      </c>
      <c r="I26" s="187">
        <f>'Desmontaje e Infraestructura'!K40</f>
        <v>0</v>
      </c>
    </row>
    <row r="27" spans="1:9" x14ac:dyDescent="0.25">
      <c r="B27" t="s">
        <v>290</v>
      </c>
      <c r="C27" s="184" t="str">
        <f>'Desmontaje e Infraestructura'!C41</f>
        <v xml:space="preserve">Conexionado de las canalizaciones exteriores a los armarios </v>
      </c>
      <c r="D27" t="s">
        <v>33</v>
      </c>
      <c r="E27" s="148">
        <f>'Desmontaje e Infraestructura'!A41</f>
        <v>26</v>
      </c>
      <c r="F27" s="185">
        <f>'Desmontaje e Infraestructura'!E41</f>
        <v>60</v>
      </c>
      <c r="G27" s="186">
        <f t="shared" si="0"/>
        <v>1560</v>
      </c>
      <c r="H27" s="187">
        <f>'Desmontaje e Infraestructura'!J41</f>
        <v>0</v>
      </c>
      <c r="I27" s="187">
        <f>'Desmontaje e Infraestructura'!K41</f>
        <v>0</v>
      </c>
    </row>
    <row r="28" spans="1:9" x14ac:dyDescent="0.25">
      <c r="B28" t="s">
        <v>291</v>
      </c>
      <c r="C28" s="184" t="str">
        <f>'Desmontaje e Infraestructura'!C42</f>
        <v>Zapata de hormigón de 1000X1000X1000mm Hormigón armado Ciment. Zapatas  HA-25/B/20/IIa Vert. Manual Excavación pozoa a máquina terrenos compactos c/transporte &gt;20 km Placa anclaje S275 300x300x20 mm 1,000 42,17 42,17</v>
      </c>
      <c r="D28" t="s">
        <v>33</v>
      </c>
      <c r="E28" s="148">
        <f>'Desmontaje e Infraestructura'!A42</f>
        <v>6</v>
      </c>
      <c r="F28" s="185">
        <f>'Desmontaje e Infraestructura'!E42</f>
        <v>232.3</v>
      </c>
      <c r="G28" s="186">
        <f t="shared" si="0"/>
        <v>1393.8</v>
      </c>
      <c r="H28" s="187">
        <f>'Desmontaje e Infraestructura'!J42</f>
        <v>0</v>
      </c>
      <c r="I28" s="187">
        <f>'Desmontaje e Infraestructura'!K42</f>
        <v>0</v>
      </c>
    </row>
    <row r="29" spans="1:9" x14ac:dyDescent="0.25">
      <c r="B29" t="s">
        <v>292</v>
      </c>
      <c r="C29" s="184" t="str">
        <f>'Desmontaje e Infraestructura'!C43</f>
        <v xml:space="preserve">Báculo abatible CCTV de 6m. Fabricado en tubo de acero de 152mm de diametro. Galvanizado en caliente. </v>
      </c>
      <c r="D29" t="s">
        <v>33</v>
      </c>
      <c r="E29" s="148">
        <f>'Desmontaje e Infraestructura'!A43</f>
        <v>1</v>
      </c>
      <c r="F29" s="185">
        <f>'Desmontaje e Infraestructura'!E43</f>
        <v>771.1</v>
      </c>
      <c r="G29" s="186">
        <f t="shared" si="0"/>
        <v>771.1</v>
      </c>
      <c r="H29" s="187">
        <f>'Desmontaje e Infraestructura'!J43</f>
        <v>0</v>
      </c>
      <c r="I29" s="187">
        <f>'Desmontaje e Infraestructura'!K43</f>
        <v>0</v>
      </c>
    </row>
    <row r="30" spans="1:9" x14ac:dyDescent="0.25">
      <c r="B30" t="s">
        <v>293</v>
      </c>
      <c r="C30" s="184" t="str">
        <f>'Desmontaje e Infraestructura'!C44</f>
        <v>Instalación de báculo abatible de 6m</v>
      </c>
      <c r="D30" t="s">
        <v>33</v>
      </c>
      <c r="E30" s="148">
        <f>'Desmontaje e Infraestructura'!A44</f>
        <v>1</v>
      </c>
      <c r="F30" s="185">
        <f>'Desmontaje e Infraestructura'!E44</f>
        <v>231.9</v>
      </c>
      <c r="G30" s="186">
        <f t="shared" si="0"/>
        <v>231.9</v>
      </c>
      <c r="H30" s="187">
        <f>'Desmontaje e Infraestructura'!J44</f>
        <v>0</v>
      </c>
      <c r="I30" s="187">
        <f>'Desmontaje e Infraestructura'!K44</f>
        <v>0</v>
      </c>
    </row>
    <row r="31" spans="1:9" x14ac:dyDescent="0.25">
      <c r="B31" t="s">
        <v>294</v>
      </c>
      <c r="C31" s="184" t="str">
        <f>'Desmontaje e Infraestructura'!C45</f>
        <v>Pernos de anclaje para báculo abatible de 6m. 
4 perno M-16 S-275
8 tuerca M-16
8 arandela plana M-16
4 arandela grower M-16</v>
      </c>
      <c r="D31" t="s">
        <v>33</v>
      </c>
      <c r="E31" s="148">
        <f>'Desmontaje e Infraestructura'!A45</f>
        <v>1</v>
      </c>
      <c r="F31" s="185">
        <f>'Desmontaje e Infraestructura'!E45</f>
        <v>76</v>
      </c>
      <c r="G31" s="186">
        <f t="shared" si="0"/>
        <v>76</v>
      </c>
      <c r="H31" s="187">
        <f>'Desmontaje e Infraestructura'!J45</f>
        <v>0</v>
      </c>
      <c r="I31" s="187">
        <f>'Desmontaje e Infraestructura'!K45</f>
        <v>0</v>
      </c>
    </row>
    <row r="32" spans="1:9" x14ac:dyDescent="0.25">
      <c r="B32" t="s">
        <v>295</v>
      </c>
      <c r="C32" s="184" t="str">
        <f>'Desmontaje e Infraestructura'!C46</f>
        <v xml:space="preserve">Báculo fijo CCTV de 4m. Fabricado en tubo de acero de 152mm de diametro. Galvanizado en caliente. </v>
      </c>
      <c r="D32" t="s">
        <v>33</v>
      </c>
      <c r="E32" s="148">
        <f>'Desmontaje e Infraestructura'!A46</f>
        <v>5</v>
      </c>
      <c r="F32" s="185">
        <f>'Desmontaje e Infraestructura'!E46</f>
        <v>400</v>
      </c>
      <c r="G32" s="186">
        <f t="shared" si="0"/>
        <v>2000</v>
      </c>
      <c r="H32" s="187">
        <f>'Desmontaje e Infraestructura'!J46</f>
        <v>0</v>
      </c>
      <c r="I32" s="187">
        <f>'Desmontaje e Infraestructura'!K46</f>
        <v>0</v>
      </c>
    </row>
    <row r="33" spans="1:9" x14ac:dyDescent="0.25">
      <c r="B33" t="s">
        <v>296</v>
      </c>
      <c r="C33" s="184" t="str">
        <f>'Desmontaje e Infraestructura'!C47</f>
        <v>Instalación de báculo de 4m</v>
      </c>
      <c r="D33" t="s">
        <v>33</v>
      </c>
      <c r="E33" s="148">
        <f>'Desmontaje e Infraestructura'!A47</f>
        <v>5</v>
      </c>
      <c r="F33" s="185">
        <f>'Desmontaje e Infraestructura'!E47</f>
        <v>202</v>
      </c>
      <c r="G33" s="186">
        <f t="shared" si="0"/>
        <v>1010</v>
      </c>
      <c r="H33" s="187">
        <f>'Desmontaje e Infraestructura'!J47</f>
        <v>0</v>
      </c>
      <c r="I33" s="187">
        <f>'Desmontaje e Infraestructura'!K47</f>
        <v>0</v>
      </c>
    </row>
    <row r="34" spans="1:9" x14ac:dyDescent="0.25">
      <c r="B34" t="s">
        <v>297</v>
      </c>
      <c r="C34" s="184" t="str">
        <f>'Desmontaje e Infraestructura'!C48</f>
        <v>Pernos de anclaje para báculo fijo de 4m
4 perno M-16 S-275
8 tuerca M-16
8 arandela plana M-16
4 arandela grower M-16</v>
      </c>
      <c r="D34" t="s">
        <v>33</v>
      </c>
      <c r="E34" s="148">
        <f>'Desmontaje e Infraestructura'!A48</f>
        <v>5</v>
      </c>
      <c r="F34" s="185">
        <f>'Desmontaje e Infraestructura'!E48</f>
        <v>76</v>
      </c>
      <c r="G34" s="186">
        <f t="shared" si="0"/>
        <v>380</v>
      </c>
      <c r="H34" s="187">
        <f>'Desmontaje e Infraestructura'!J48</f>
        <v>0</v>
      </c>
      <c r="I34" s="187">
        <f>'Desmontaje e Infraestructura'!K48</f>
        <v>0</v>
      </c>
    </row>
    <row r="35" spans="1:9" x14ac:dyDescent="0.25">
      <c r="B35" t="s">
        <v>628</v>
      </c>
      <c r="C35" s="184" t="str">
        <f>'Desmontaje e Infraestructura'!C49</f>
        <v>Suministro e instalación de armario mural de fibra exterior H800xW600xD300mm (AlxAnxP) con protección IP66, IK10. Para soportación en poste, pared o suelo, incluye soportación o peana de ladrillo en suelos terrosos. Placa de montaje, carril din y protecciones electricas (Bornero Trifásico, Magnetotérmico General, diferencial, magnetotérmico switch, magnetotérmico ventilador, magnetotérmico reserva, magnetotérmico enchufe y enchufe schuko), termostato, FA para termostato, ventilación forzada, cierre por candado unificado. Incluye canal perimetral tipo phoenix contact de 40mm. Incluyendo el Suministro y montaje de bandeja organizadora de empalmes y/o terminación de F.O. con capacidad para terminar en conectores hasta 16 fibras (bandeja de conectorización) o capacidad para empalmar fibras de paso hasta 48 fibras.</v>
      </c>
      <c r="D35" t="s">
        <v>33</v>
      </c>
      <c r="E35" s="148">
        <f>'Desmontaje e Infraestructura'!A49</f>
        <v>26</v>
      </c>
      <c r="F35" s="185">
        <f>'Desmontaje e Infraestructura'!E49</f>
        <v>1026</v>
      </c>
      <c r="G35" s="186">
        <f t="shared" si="0"/>
        <v>26676</v>
      </c>
      <c r="H35" s="187">
        <f>'Desmontaje e Infraestructura'!J49</f>
        <v>0</v>
      </c>
      <c r="I35" s="187">
        <f>'Desmontaje e Infraestructura'!K49</f>
        <v>0</v>
      </c>
    </row>
    <row r="36" spans="1:9" x14ac:dyDescent="0.25">
      <c r="B36" t="s">
        <v>298</v>
      </c>
      <c r="C36" s="184" t="str">
        <f>'Desmontaje e Infraestructura'!C50</f>
        <v>Fabricación de peana de sustentación en ladrillo para armario de fibra exterior en suelo, tierra o pavimento.</v>
      </c>
      <c r="D36" t="s">
        <v>33</v>
      </c>
      <c r="E36" s="148">
        <f>'Desmontaje e Infraestructura'!A50</f>
        <v>26</v>
      </c>
      <c r="F36" s="185">
        <f>'Desmontaje e Infraestructura'!E50</f>
        <v>200</v>
      </c>
      <c r="G36" s="186">
        <f t="shared" si="0"/>
        <v>5200</v>
      </c>
      <c r="H36" s="187">
        <f>'Desmontaje e Infraestructura'!J50</f>
        <v>0</v>
      </c>
      <c r="I36" s="187">
        <f>'Desmontaje e Infraestructura'!K50</f>
        <v>0</v>
      </c>
    </row>
    <row r="37" spans="1:9" x14ac:dyDescent="0.25">
      <c r="B37" t="s">
        <v>299</v>
      </c>
      <c r="C37" s="184" t="str">
        <f>'Desmontaje e Infraestructura'!C52</f>
        <v>Partida alzada ayudas auxiliares en equipamiento y mano de obra de instalaciones</v>
      </c>
      <c r="D37" t="s">
        <v>33</v>
      </c>
      <c r="E37" s="148">
        <f>'Desmontaje e Infraestructura'!A52</f>
        <v>1</v>
      </c>
      <c r="F37" s="185">
        <f>'Desmontaje e Infraestructura'!E52</f>
        <v>2354.3040000000001</v>
      </c>
      <c r="G37" s="186">
        <f t="shared" si="0"/>
        <v>2354.3000000000002</v>
      </c>
      <c r="H37" s="187">
        <f>'Desmontaje e Infraestructura'!J52</f>
        <v>2354.3040000000001</v>
      </c>
      <c r="I37" s="186">
        <f>'Desmontaje e Infraestructura'!K52</f>
        <v>2354.3040000000001</v>
      </c>
    </row>
    <row r="38" spans="1:9" x14ac:dyDescent="0.25">
      <c r="B38" t="s">
        <v>300</v>
      </c>
      <c r="C38" s="184" t="str">
        <f>'Desmontaje e Infraestructura'!C53</f>
        <v>Partida alzada ayudas auxiliares en equipamiento y mano de obra de obra civil o albañilería</v>
      </c>
      <c r="D38" t="s">
        <v>33</v>
      </c>
      <c r="E38" s="148">
        <f>'Desmontaje e Infraestructura'!A53</f>
        <v>1</v>
      </c>
      <c r="F38" s="185">
        <f>'Desmontaje e Infraestructura'!E53</f>
        <v>2354.3040000000001</v>
      </c>
      <c r="G38" s="186">
        <f t="shared" si="0"/>
        <v>2354.3000000000002</v>
      </c>
      <c r="H38" s="187">
        <f>'Desmontaje e Infraestructura'!J53</f>
        <v>2354.3040000000001</v>
      </c>
      <c r="I38" s="186">
        <f>'Desmontaje e Infraestructura'!K53</f>
        <v>2354.3040000000001</v>
      </c>
    </row>
    <row r="39" spans="1:9" s="178" customFormat="1" x14ac:dyDescent="0.25">
      <c r="A39" s="178" t="s">
        <v>320</v>
      </c>
      <c r="B39" s="178" t="s">
        <v>40</v>
      </c>
      <c r="C39" s="179" t="s">
        <v>100</v>
      </c>
      <c r="E39" s="180"/>
      <c r="F39" s="181"/>
      <c r="G39" s="186"/>
      <c r="H39" s="182"/>
      <c r="I39" s="182"/>
    </row>
    <row r="40" spans="1:9" x14ac:dyDescent="0.25">
      <c r="B40" t="s">
        <v>286</v>
      </c>
      <c r="C40" s="184" t="str">
        <f>'Desmontaje e Infraestructura'!C58</f>
        <v xml:space="preserve">Suministro e instalación de manguera de FTP CAT6A o superior CAT7 de exterior con cubierta de PE protección UV, malla-chapa antiroedor, CPR, 4 pares trenzados, bindaje independiente por par y blindaje común a los 4 pares, pp. Conexionado y certificación </v>
      </c>
      <c r="D40" t="s">
        <v>33</v>
      </c>
      <c r="E40" s="148">
        <f>'Desmontaje e Infraestructura'!A58</f>
        <v>11000</v>
      </c>
      <c r="F40" s="185">
        <f>'Desmontaje e Infraestructura'!E58</f>
        <v>3.3</v>
      </c>
      <c r="G40" s="186">
        <f t="shared" si="0"/>
        <v>36300</v>
      </c>
      <c r="H40" s="187">
        <f>'Desmontaje e Infraestructura'!J58</f>
        <v>0</v>
      </c>
      <c r="I40" s="186">
        <f>'Desmontaje e Infraestructura'!K58</f>
        <v>0</v>
      </c>
    </row>
    <row r="41" spans="1:9" x14ac:dyDescent="0.25">
      <c r="B41" t="s">
        <v>301</v>
      </c>
      <c r="C41" s="184" t="str">
        <f>'Desmontaje e Infraestructura'!C59</f>
        <v xml:space="preserve">Suministro e instalación de manguera de fibra óptica de exterior con cubierta de PE protección UV, malla-chapa antiroedor, CPR, 4 FO SM, de tipo OS3 pp. Conexionado fusiones y certificación </v>
      </c>
      <c r="D41" t="s">
        <v>33</v>
      </c>
      <c r="E41" s="148">
        <f>'Desmontaje e Infraestructura'!A59</f>
        <v>1500</v>
      </c>
      <c r="F41" s="185">
        <f>'Desmontaje e Infraestructura'!E59</f>
        <v>3.2</v>
      </c>
      <c r="G41" s="186">
        <f t="shared" si="0"/>
        <v>4800</v>
      </c>
      <c r="H41" s="187">
        <f>'Desmontaje e Infraestructura'!J59</f>
        <v>0</v>
      </c>
      <c r="I41" s="186">
        <f>'Desmontaje e Infraestructura'!K59</f>
        <v>0</v>
      </c>
    </row>
    <row r="42" spans="1:9" x14ac:dyDescent="0.25">
      <c r="B42" t="s">
        <v>302</v>
      </c>
      <c r="C42" s="184" t="str">
        <f>'Desmontaje e Infraestructura'!C60</f>
        <v xml:space="preserve">Suministro e instalación de manguera de fibra óptica de interior con cubierta de PE protección UV, CPR, 12 FO SM, de tipo OS3 pp. Conexionado fusiones y certificación </v>
      </c>
      <c r="D42" t="s">
        <v>33</v>
      </c>
      <c r="E42" s="148">
        <f>'Desmontaje e Infraestructura'!A60</f>
        <v>650</v>
      </c>
      <c r="F42" s="185">
        <f>'Desmontaje e Infraestructura'!E60</f>
        <v>3.5</v>
      </c>
      <c r="G42" s="186">
        <f t="shared" si="0"/>
        <v>2275</v>
      </c>
      <c r="H42" s="187">
        <f>'Desmontaje e Infraestructura'!J60</f>
        <v>0</v>
      </c>
      <c r="I42" s="186">
        <f>'Desmontaje e Infraestructura'!K60</f>
        <v>0</v>
      </c>
    </row>
    <row r="43" spans="1:9" x14ac:dyDescent="0.25">
      <c r="B43" t="s">
        <v>499</v>
      </c>
      <c r="C43" s="184" t="str">
        <f>'Desmontaje e Infraestructura'!C61</f>
        <v xml:space="preserve">Suministro e instalación de manguera de fibra óptica de exterior con cubierta de PE protección UV, malla-chapa antiroedor, CPR, 48 FO SM, de tipo OS3 pp. Conexionado fusiones y certificación </v>
      </c>
      <c r="D43" t="s">
        <v>33</v>
      </c>
      <c r="E43" s="148">
        <f>'Desmontaje e Infraestructura'!A61</f>
        <v>2700</v>
      </c>
      <c r="F43" s="185">
        <f>'Desmontaje e Infraestructura'!E61</f>
        <v>4.7</v>
      </c>
      <c r="G43" s="186">
        <f t="shared" si="0"/>
        <v>12690</v>
      </c>
      <c r="H43" s="187">
        <f>'Desmontaje e Infraestructura'!J61</f>
        <v>0</v>
      </c>
      <c r="I43" s="186">
        <f>'Desmontaje e Infraestructura'!K61</f>
        <v>0</v>
      </c>
    </row>
    <row r="44" spans="1:9" x14ac:dyDescent="0.25">
      <c r="B44" t="s">
        <v>500</v>
      </c>
      <c r="C44" s="184" t="str">
        <f>'Desmontaje e Infraestructura'!C63</f>
        <v>Partida alzada ayudas auxiliares en equipamiento y mano de obra de instalaciones</v>
      </c>
      <c r="D44" t="s">
        <v>33</v>
      </c>
      <c r="E44" s="148">
        <f>'Desmontaje e Infraestructura'!A63</f>
        <v>1</v>
      </c>
      <c r="F44" s="185">
        <f>'Desmontaje e Infraestructura'!E63</f>
        <v>1681.95</v>
      </c>
      <c r="G44" s="186">
        <f t="shared" si="0"/>
        <v>1681.95</v>
      </c>
      <c r="H44" s="187">
        <f>'Desmontaje e Infraestructura'!J63</f>
        <v>1681.95</v>
      </c>
      <c r="I44" s="186">
        <f>'Desmontaje e Infraestructura'!K63</f>
        <v>1681.95</v>
      </c>
    </row>
    <row r="45" spans="1:9" x14ac:dyDescent="0.25">
      <c r="B45" t="s">
        <v>501</v>
      </c>
      <c r="C45" s="184" t="str">
        <f>'Desmontaje e Infraestructura'!C64</f>
        <v>Partida alzada ayudas auxiliares en equipamiento y mano de obra de obra civil o albañilería</v>
      </c>
      <c r="D45" t="s">
        <v>33</v>
      </c>
      <c r="E45" s="148">
        <f>'Desmontaje e Infraestructura'!A64</f>
        <v>1</v>
      </c>
      <c r="F45" s="185">
        <f>'Desmontaje e Infraestructura'!E64</f>
        <v>1681.95</v>
      </c>
      <c r="G45" s="186">
        <f t="shared" si="0"/>
        <v>1681.95</v>
      </c>
      <c r="H45" s="187">
        <f>'Desmontaje e Infraestructura'!J64</f>
        <v>1681.95</v>
      </c>
      <c r="I45" s="186">
        <f>'Desmontaje e Infraestructura'!K64</f>
        <v>1681.95</v>
      </c>
    </row>
    <row r="46" spans="1:9" s="178" customFormat="1" x14ac:dyDescent="0.25">
      <c r="A46" s="178" t="s">
        <v>321</v>
      </c>
      <c r="B46" s="178" t="s">
        <v>41</v>
      </c>
      <c r="C46" s="179" t="s">
        <v>106</v>
      </c>
      <c r="E46" s="180"/>
      <c r="F46" s="181"/>
      <c r="G46" s="186"/>
      <c r="H46" s="183"/>
      <c r="I46" s="182"/>
    </row>
    <row r="47" spans="1:9" x14ac:dyDescent="0.25">
      <c r="B47" t="s">
        <v>303</v>
      </c>
      <c r="C47" s="184" t="str">
        <f>'Desmontaje e Infraestructura'!C69</f>
        <v>Suministro e instalación de manguera exterior RZ1-K 5x25mm
Suministro e instalación de cable de cobre multipolar de 5G25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v>
      </c>
      <c r="D47" t="s">
        <v>33</v>
      </c>
      <c r="E47" s="148">
        <f>'Desmontaje e Infraestructura'!A69</f>
        <v>1300</v>
      </c>
      <c r="F47" s="185">
        <f>'Desmontaje e Infraestructura'!E69</f>
        <v>26.1</v>
      </c>
      <c r="G47" s="186">
        <f t="shared" si="0"/>
        <v>33930</v>
      </c>
      <c r="H47" s="187">
        <f>'Desmontaje e Infraestructura'!J69</f>
        <v>0</v>
      </c>
      <c r="I47" s="186">
        <f>'Desmontaje e Infraestructura'!K69</f>
        <v>0</v>
      </c>
    </row>
    <row r="48" spans="1:9" x14ac:dyDescent="0.25">
      <c r="B48" t="s">
        <v>304</v>
      </c>
      <c r="C48" s="184" t="str">
        <f>'Desmontaje e Infraestructura'!C70</f>
        <v>Suministro e instalación de manguera exterior RZ1-K 5x16mm
Suministro e instalación de cable de cobre multipolar de 5G16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v>
      </c>
      <c r="D48" t="s">
        <v>33</v>
      </c>
      <c r="E48" s="148">
        <f>'Desmontaje e Infraestructura'!A70</f>
        <v>1350</v>
      </c>
      <c r="F48" s="185">
        <f>'Desmontaje e Infraestructura'!E70</f>
        <v>18.95</v>
      </c>
      <c r="G48" s="186">
        <f t="shared" si="0"/>
        <v>25582.5</v>
      </c>
      <c r="H48" s="187">
        <f>'Desmontaje e Infraestructura'!J70</f>
        <v>0</v>
      </c>
      <c r="I48" s="186">
        <f>'Desmontaje e Infraestructura'!K70</f>
        <v>0</v>
      </c>
    </row>
    <row r="49" spans="2:9" x14ac:dyDescent="0.25">
      <c r="B49" t="s">
        <v>305</v>
      </c>
      <c r="C49" s="184" t="str">
        <f>'Desmontaje e Infraestructura'!C71</f>
        <v>Suministro e instalación de manguera exterior RZ1-K 3x16mm
Suministro e instalación de cable de cobre multipolar de 5G16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v>
      </c>
      <c r="D49" t="s">
        <v>33</v>
      </c>
      <c r="E49" s="148">
        <f>'Desmontaje e Infraestructura'!A71</f>
        <v>1000</v>
      </c>
      <c r="F49" s="185">
        <f>'Desmontaje e Infraestructura'!E71</f>
        <v>6</v>
      </c>
      <c r="G49" s="186">
        <f t="shared" si="0"/>
        <v>6000</v>
      </c>
      <c r="H49" s="187">
        <f>'Desmontaje e Infraestructura'!J71</f>
        <v>0</v>
      </c>
      <c r="I49" s="186">
        <f>'Desmontaje e Infraestructura'!K71</f>
        <v>0</v>
      </c>
    </row>
    <row r="50" spans="2:9" x14ac:dyDescent="0.25">
      <c r="B50" t="s">
        <v>306</v>
      </c>
      <c r="C50" s="184" t="str">
        <f>'Desmontaje e Infraestructura'!C72</f>
        <v>Suministro e instalación de manguera exterior RZ1-K 3x6mm
Suministro e instalación de cable de cobre multipolar de 3G6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v>
      </c>
      <c r="D50" t="s">
        <v>33</v>
      </c>
      <c r="E50" s="148">
        <f>'Desmontaje e Infraestructura'!A72</f>
        <v>900</v>
      </c>
      <c r="F50" s="185">
        <f>'Desmontaje e Infraestructura'!E72</f>
        <v>4</v>
      </c>
      <c r="G50" s="186">
        <f t="shared" si="0"/>
        <v>3600</v>
      </c>
      <c r="H50" s="187">
        <f>'Desmontaje e Infraestructura'!J72</f>
        <v>0</v>
      </c>
      <c r="I50" s="186">
        <f>'Desmontaje e Infraestructura'!K72</f>
        <v>0</v>
      </c>
    </row>
    <row r="51" spans="2:9" x14ac:dyDescent="0.25">
      <c r="B51" t="s">
        <v>308</v>
      </c>
      <c r="C51" s="184" t="str">
        <f>'Desmontaje e Infraestructura'!C73</f>
        <v>Suministro e instalación de manguera exterior RZ1-K 3x2,5mm
Suministro e instalación de cable de cobre multipolar de 3G2,5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v>
      </c>
      <c r="D51" t="s">
        <v>33</v>
      </c>
      <c r="E51" s="148">
        <f>'Desmontaje e Infraestructura'!A73</f>
        <v>100</v>
      </c>
      <c r="F51" s="185">
        <f>'Desmontaje e Infraestructura'!E73</f>
        <v>2.5</v>
      </c>
      <c r="G51" s="186">
        <f t="shared" si="0"/>
        <v>250</v>
      </c>
      <c r="H51" s="187">
        <f>'Desmontaje e Infraestructura'!J73</f>
        <v>0</v>
      </c>
      <c r="I51" s="186">
        <f>'Desmontaje e Infraestructura'!K73</f>
        <v>0</v>
      </c>
    </row>
    <row r="52" spans="2:9" x14ac:dyDescent="0.25">
      <c r="B52" t="s">
        <v>622</v>
      </c>
      <c r="C52" s="184" t="str">
        <f>'Desmontaje e Infraestructura'!C75</f>
        <v>Interruptor automático de 4x80 A. curva C. Suministro e instalación de Interruptor automático magnetotérmico de 4 x 80 A tipo NG125N, 4P, 80 A, C curva, 25 kA (IEC 60947-2), de Schneider ó similar aprobado. Totalmente cableado y en funcionamiento.</v>
      </c>
      <c r="D52" t="s">
        <v>33</v>
      </c>
      <c r="E52" s="148">
        <f>'Desmontaje e Infraestructura'!A75</f>
        <v>1</v>
      </c>
      <c r="F52" s="185">
        <f>'Desmontaje e Infraestructura'!E75</f>
        <v>382</v>
      </c>
      <c r="G52" s="186">
        <f t="shared" si="0"/>
        <v>382</v>
      </c>
      <c r="H52" s="187">
        <f>'Desmontaje e Infraestructura'!J75</f>
        <v>0</v>
      </c>
      <c r="I52" s="186">
        <f>'Desmontaje e Infraestructura'!K75</f>
        <v>0</v>
      </c>
    </row>
    <row r="53" spans="2:9" x14ac:dyDescent="0.25">
      <c r="B53" t="s">
        <v>307</v>
      </c>
      <c r="C53" s="184" t="str">
        <f>'Desmontaje e Infraestructura'!C77</f>
        <v>Interruptor automático de 4x63 A. curva C. Suministro e instalación de Interruptor automático magnetotérmico de 4 x 63 A tipo C60N, de Schneider ó similar aprobado. Totalmente cableado y en funcionamiento.</v>
      </c>
      <c r="D53" t="s">
        <v>33</v>
      </c>
      <c r="E53" s="148">
        <f>'Desmontaje e Infraestructura'!A77</f>
        <v>1</v>
      </c>
      <c r="F53" s="185">
        <f>'Desmontaje e Infraestructura'!E77</f>
        <v>115</v>
      </c>
      <c r="G53" s="186">
        <f t="shared" si="0"/>
        <v>115</v>
      </c>
      <c r="H53" s="187">
        <f>'Desmontaje e Infraestructura'!J77</f>
        <v>0</v>
      </c>
      <c r="I53" s="186">
        <f>'Desmontaje e Infraestructura'!K77</f>
        <v>0</v>
      </c>
    </row>
    <row r="54" spans="2:9" x14ac:dyDescent="0.25">
      <c r="B54" t="s">
        <v>623</v>
      </c>
      <c r="C54" s="184" t="str">
        <f>'Desmontaje e Infraestructura'!C78</f>
        <v>Interruptor automático de 4x50 A. curva C. Suministro e instalación de Interruptor automático magnetotérmico de 4 x 40 A tipo C60N, de Schneider ó similar aprobado. Totalmente cableado y en funcionamiento.</v>
      </c>
      <c r="D54" t="s">
        <v>33</v>
      </c>
      <c r="E54" s="148">
        <f>'Desmontaje e Infraestructura'!A78</f>
        <v>1</v>
      </c>
      <c r="F54" s="185">
        <f>'Desmontaje e Infraestructura'!E78</f>
        <v>85</v>
      </c>
      <c r="G54" s="186">
        <f t="shared" si="0"/>
        <v>85</v>
      </c>
      <c r="H54" s="187">
        <f>'Desmontaje e Infraestructura'!J78</f>
        <v>0</v>
      </c>
      <c r="I54" s="186">
        <f>'Desmontaje e Infraestructura'!K78</f>
        <v>0</v>
      </c>
    </row>
    <row r="55" spans="2:9" x14ac:dyDescent="0.25">
      <c r="B55" t="s">
        <v>309</v>
      </c>
      <c r="C55" s="184" t="str">
        <f>'Desmontaje e Infraestructura'!C79</f>
        <v>Interruptor diferencial 4x63 A. 300 mA. Clase AC. Suministro e instalación de Interruptor diferencial de 4x63 A, 300 mA. Clase AC, tipo iID de Schndeider o similar aprobado.</v>
      </c>
      <c r="D55" t="s">
        <v>33</v>
      </c>
      <c r="E55" s="148">
        <f>'Desmontaje e Infraestructura'!A79</f>
        <v>1</v>
      </c>
      <c r="F55" s="185">
        <f>'Desmontaje e Infraestructura'!E79</f>
        <v>150</v>
      </c>
      <c r="G55" s="186">
        <f t="shared" si="0"/>
        <v>150</v>
      </c>
      <c r="H55" s="187">
        <f>'Desmontaje e Infraestructura'!J79</f>
        <v>0</v>
      </c>
      <c r="I55" s="186">
        <f>'Desmontaje e Infraestructura'!K79</f>
        <v>0</v>
      </c>
    </row>
    <row r="56" spans="2:9" x14ac:dyDescent="0.25">
      <c r="B56" t="s">
        <v>310</v>
      </c>
      <c r="C56" s="184" t="str">
        <f>'Desmontaje e Infraestructura'!C80</f>
        <v>Bloque de distribución Schneider Electric LGY412548 para uso con Compact, Kaedra, Pragma, Prisma-G, Prisma-P,</v>
      </c>
      <c r="D56" t="s">
        <v>33</v>
      </c>
      <c r="E56" s="148">
        <f>'Desmontaje e Infraestructura'!A80</f>
        <v>1</v>
      </c>
      <c r="F56" s="185">
        <f>'Desmontaje e Infraestructura'!E80</f>
        <v>50</v>
      </c>
      <c r="G56" s="186">
        <f t="shared" si="0"/>
        <v>50</v>
      </c>
      <c r="H56" s="187">
        <f>'Desmontaje e Infraestructura'!J80</f>
        <v>0</v>
      </c>
      <c r="I56" s="186">
        <f>'Desmontaje e Infraestructura'!K80</f>
        <v>0</v>
      </c>
    </row>
    <row r="57" spans="2:9" x14ac:dyDescent="0.25">
      <c r="B57" t="s">
        <v>311</v>
      </c>
      <c r="C57" s="184" t="str">
        <f>'Desmontaje e Infraestructura'!C82</f>
        <v>Envolvente PrismaSeT S 24 módulos 4 Filas superfície, 4 carriles y 4 tapas para los módulos. Cofre PACK 160 Gama Prisma plus de superficie 4 filas, alto 1080 mm para 24 módulos MARCA SCHNEIDER ELECTRIC, 4 carriles y 4 tapas para los módulos. Armario mural.</v>
      </c>
      <c r="D57" t="s">
        <v>33</v>
      </c>
      <c r="E57" s="148">
        <f>'Desmontaje e Infraestructura'!A82</f>
        <v>1</v>
      </c>
      <c r="F57" s="185">
        <f>'Desmontaje e Infraestructura'!E82</f>
        <v>440</v>
      </c>
      <c r="G57" s="186">
        <f t="shared" si="0"/>
        <v>440</v>
      </c>
      <c r="H57" s="187">
        <f>'Desmontaje e Infraestructura'!J82</f>
        <v>0</v>
      </c>
      <c r="I57" s="186">
        <f>'Desmontaje e Infraestructura'!K82</f>
        <v>0</v>
      </c>
    </row>
    <row r="58" spans="2:9" x14ac:dyDescent="0.25">
      <c r="B58" t="s">
        <v>312</v>
      </c>
      <c r="C58" s="184" t="str">
        <f>'Desmontaje e Infraestructura'!C83</f>
        <v>Interruptor automático de 4x40 A. curva C. Suministro e instalación de Interruptor automático magnetotérmico de 4 x 40 A tipo C60N, de Schneider ó similar aprobado. Totalmente cableado y en funcionamiento.</v>
      </c>
      <c r="D58" t="s">
        <v>33</v>
      </c>
      <c r="E58" s="148">
        <f>'Desmontaje e Infraestructura'!A83</f>
        <v>1</v>
      </c>
      <c r="F58" s="185">
        <f>'Desmontaje e Infraestructura'!E83</f>
        <v>85</v>
      </c>
      <c r="G58" s="186">
        <f t="shared" si="0"/>
        <v>85</v>
      </c>
      <c r="H58" s="187">
        <f>'Desmontaje e Infraestructura'!J83</f>
        <v>0</v>
      </c>
      <c r="I58" s="186">
        <f>'Desmontaje e Infraestructura'!K83</f>
        <v>0</v>
      </c>
    </row>
    <row r="59" spans="2:9" x14ac:dyDescent="0.25">
      <c r="B59" t="s">
        <v>624</v>
      </c>
      <c r="C59" s="184" t="str">
        <f>'Desmontaje e Infraestructura'!C84</f>
        <v>Interruptor automático de 4x32 A. curva C. Suministro e instalación de Interruptor automático magnetotérmico de 4 x 32 A tipo C60N, de Schneider ó similar aprobado. Totalmente cableado y en funcionamiento.</v>
      </c>
      <c r="D59" t="s">
        <v>33</v>
      </c>
      <c r="E59" s="148">
        <f>'Desmontaje e Infraestructura'!A84</f>
        <v>3</v>
      </c>
      <c r="F59" s="185">
        <f>'Desmontaje e Infraestructura'!E84</f>
        <v>40</v>
      </c>
      <c r="G59" s="186">
        <f t="shared" si="0"/>
        <v>120</v>
      </c>
      <c r="H59" s="187">
        <f>'Desmontaje e Infraestructura'!J84</f>
        <v>0</v>
      </c>
      <c r="I59" s="186">
        <f>'Desmontaje e Infraestructura'!K84</f>
        <v>0</v>
      </c>
    </row>
    <row r="60" spans="2:9" x14ac:dyDescent="0.25">
      <c r="B60" t="s">
        <v>313</v>
      </c>
      <c r="C60" s="184" t="str">
        <f>'Desmontaje e Infraestructura'!C85</f>
        <v>Interruptor diferencial 4x40 A. 300 mA. Clase AC. Suministro e instalación de Interruptor diferencial de 4x40 A, 300 mA. Clase AC, tipo iID de Schndeider o similar aprobado.</v>
      </c>
      <c r="D60" t="s">
        <v>33</v>
      </c>
      <c r="E60" s="148">
        <f>'Desmontaje e Infraestructura'!A85</f>
        <v>3</v>
      </c>
      <c r="F60" s="185">
        <f>'Desmontaje e Infraestructura'!E85</f>
        <v>120</v>
      </c>
      <c r="G60" s="186">
        <f t="shared" si="0"/>
        <v>360</v>
      </c>
      <c r="H60" s="187">
        <f>'Desmontaje e Infraestructura'!J85</f>
        <v>0</v>
      </c>
      <c r="I60" s="186">
        <f>'Desmontaje e Infraestructura'!K85</f>
        <v>0</v>
      </c>
    </row>
    <row r="61" spans="2:9" x14ac:dyDescent="0.25">
      <c r="B61" t="s">
        <v>314</v>
      </c>
      <c r="C61" s="184" t="str">
        <f>'Desmontaje e Infraestructura'!C86</f>
        <v>Interruptor automático de 2x20 A.curva C. Interruptor automático magnetotérmico de 2 x 20 A tipo C60N, de Schneider ó similar aprobado.</v>
      </c>
      <c r="D61" t="s">
        <v>33</v>
      </c>
      <c r="E61" s="148">
        <f>'Desmontaje e Infraestructura'!A86</f>
        <v>2</v>
      </c>
      <c r="F61" s="185">
        <f>'Desmontaje e Infraestructura'!E86</f>
        <v>15</v>
      </c>
      <c r="G61" s="186">
        <f t="shared" si="0"/>
        <v>30</v>
      </c>
      <c r="H61" s="187">
        <f>'Desmontaje e Infraestructura'!J86</f>
        <v>0</v>
      </c>
      <c r="I61" s="186">
        <f>'Desmontaje e Infraestructura'!K86</f>
        <v>0</v>
      </c>
    </row>
    <row r="62" spans="2:9" x14ac:dyDescent="0.25">
      <c r="B62" t="s">
        <v>315</v>
      </c>
      <c r="C62" s="184" t="str">
        <f>'Desmontaje e Infraestructura'!C87</f>
        <v>Interruptor diferencial 2x25 A. 300 mA. Clase AC. Suministro e instalación de Interruptor diferencial de 2x25 A, 300 mA. Clase AC, tipo iID de Schndeider o similar aprobado. Totalmente cableado y funcionando.</v>
      </c>
      <c r="D62" t="s">
        <v>33</v>
      </c>
      <c r="E62" s="148">
        <f>'Desmontaje e Infraestructura'!A87</f>
        <v>2</v>
      </c>
      <c r="F62" s="185">
        <f>'Desmontaje e Infraestructura'!E87</f>
        <v>35</v>
      </c>
      <c r="G62" s="186">
        <f t="shared" si="0"/>
        <v>70</v>
      </c>
      <c r="H62" s="187">
        <f>'Desmontaje e Infraestructura'!J87</f>
        <v>0</v>
      </c>
      <c r="I62" s="186">
        <f>'Desmontaje e Infraestructura'!K87</f>
        <v>0</v>
      </c>
    </row>
    <row r="63" spans="2:9" x14ac:dyDescent="0.25">
      <c r="B63" t="s">
        <v>316</v>
      </c>
      <c r="C63" s="184" t="str">
        <f>'Desmontaje e Infraestructura'!C88</f>
        <v>Interruptor automático de 2x16 A.curva C. Interruptor automático magnetotérmico de 2 x 16 A tipo C60N, de Schneider ó similar aprobado.</v>
      </c>
      <c r="D63" t="s">
        <v>33</v>
      </c>
      <c r="E63" s="148">
        <f>'Desmontaje e Infraestructura'!A88</f>
        <v>3</v>
      </c>
      <c r="F63" s="185">
        <f>'Desmontaje e Infraestructura'!E88</f>
        <v>15</v>
      </c>
      <c r="G63" s="186">
        <f t="shared" si="0"/>
        <v>45</v>
      </c>
      <c r="H63" s="187">
        <f>'Desmontaje e Infraestructura'!J88</f>
        <v>0</v>
      </c>
      <c r="I63" s="186">
        <f>'Desmontaje e Infraestructura'!K88</f>
        <v>0</v>
      </c>
    </row>
    <row r="64" spans="2:9" x14ac:dyDescent="0.25">
      <c r="B64" t="s">
        <v>317</v>
      </c>
      <c r="C64" s="184" t="str">
        <f>'Desmontaje e Infraestructura'!C89</f>
        <v>Interruptor automático de 2x20 A.curva C. Interruptor automático magnetotérmico de 2 x 20 A tipo C60N, de Schneider ó similar aprobado.</v>
      </c>
      <c r="D64" t="s">
        <v>33</v>
      </c>
      <c r="E64" s="148">
        <f>'Desmontaje e Infraestructura'!A89</f>
        <v>1</v>
      </c>
      <c r="F64" s="185">
        <f>'Desmontaje e Infraestructura'!E89</f>
        <v>15</v>
      </c>
      <c r="G64" s="186">
        <f t="shared" si="0"/>
        <v>15</v>
      </c>
      <c r="H64" s="187">
        <f>'Desmontaje e Infraestructura'!J89</f>
        <v>0</v>
      </c>
      <c r="I64" s="186">
        <f>'Desmontaje e Infraestructura'!K89</f>
        <v>0</v>
      </c>
    </row>
    <row r="65" spans="1:9" x14ac:dyDescent="0.25">
      <c r="B65" t="s">
        <v>318</v>
      </c>
      <c r="C65" s="184" t="str">
        <f>'Desmontaje e Infraestructura'!C90</f>
        <v>Interruptor automático de 2x10 A.curva C. Interruptor automático magnetotérmico de 2 x 10 A tipo C60N, de Schneider ó similar aprobado.</v>
      </c>
      <c r="D65" t="s">
        <v>33</v>
      </c>
      <c r="E65" s="148">
        <f>'Desmontaje e Infraestructura'!A90</f>
        <v>1</v>
      </c>
      <c r="F65" s="185">
        <f>'Desmontaje e Infraestructura'!E90</f>
        <v>12</v>
      </c>
      <c r="G65" s="186">
        <f t="shared" si="0"/>
        <v>12</v>
      </c>
      <c r="H65" s="187">
        <f>'Desmontaje e Infraestructura'!J90</f>
        <v>0</v>
      </c>
      <c r="I65" s="186">
        <f>'Desmontaje e Infraestructura'!K90</f>
        <v>0</v>
      </c>
    </row>
    <row r="66" spans="1:9" x14ac:dyDescent="0.25">
      <c r="B66" t="s">
        <v>319</v>
      </c>
      <c r="C66" s="184" t="str">
        <f>'Desmontaje e Infraestructura'!C91</f>
        <v>Interruptor diferencial 2x25 A. 300 mA. Clase AC. Suministro e instalación de Interruptor diferencial de 2x25 A, 300 mA. Clase AC, tipo iID de Schndeider o similar aprobado. Totalmente cableado y funcionando.</v>
      </c>
      <c r="D66" t="s">
        <v>33</v>
      </c>
      <c r="E66" s="148">
        <f>'Desmontaje e Infraestructura'!A91</f>
        <v>1</v>
      </c>
      <c r="F66" s="185">
        <f>'Desmontaje e Infraestructura'!E91</f>
        <v>35</v>
      </c>
      <c r="G66" s="186">
        <f t="shared" si="0"/>
        <v>35</v>
      </c>
      <c r="H66" s="187">
        <f>'Desmontaje e Infraestructura'!J91</f>
        <v>0</v>
      </c>
      <c r="I66" s="186">
        <f>'Desmontaje e Infraestructura'!K91</f>
        <v>0</v>
      </c>
    </row>
    <row r="67" spans="1:9" x14ac:dyDescent="0.25">
      <c r="B67" t="s">
        <v>502</v>
      </c>
      <c r="C67" s="184" t="str">
        <f>'Desmontaje e Infraestructura'!C92</f>
        <v>Interruptor diferencial 2x25 A. 30 mA. Clase AC. Suministro e instalación de Interruptor diferencial de 2x25 A, 30 mA. Clase AC, tipo iID de Schndeider o similar aprobado. Totalmente cableado y funcionando.</v>
      </c>
      <c r="D67" t="s">
        <v>33</v>
      </c>
      <c r="E67" s="148">
        <f>'Desmontaje e Infraestructura'!A92</f>
        <v>4</v>
      </c>
      <c r="F67" s="185">
        <f>'Desmontaje e Infraestructura'!E92</f>
        <v>27</v>
      </c>
      <c r="G67" s="186">
        <f t="shared" si="0"/>
        <v>108</v>
      </c>
      <c r="H67" s="187">
        <f>'Desmontaje e Infraestructura'!J92</f>
        <v>0</v>
      </c>
      <c r="I67" s="186">
        <f>'Desmontaje e Infraestructura'!K92</f>
        <v>0</v>
      </c>
    </row>
    <row r="68" spans="1:9" x14ac:dyDescent="0.25">
      <c r="B68" t="s">
        <v>503</v>
      </c>
      <c r="C68" s="184" t="str">
        <f>'Desmontaje e Infraestructura'!C94</f>
        <v>Interruptor automático de 2x32 A.curva C. Interruptor automático magnetotérmico de 2 x 32 A tipo C60N, de Schneider ó similar aprobado.</v>
      </c>
      <c r="D68" t="s">
        <v>33</v>
      </c>
      <c r="E68" s="148">
        <f>'Desmontaje e Infraestructura'!A94</f>
        <v>1</v>
      </c>
      <c r="F68" s="185">
        <f>'Desmontaje e Infraestructura'!E94</f>
        <v>20</v>
      </c>
      <c r="G68" s="186">
        <f t="shared" si="0"/>
        <v>20</v>
      </c>
      <c r="H68" s="187">
        <f>'Desmontaje e Infraestructura'!J94</f>
        <v>0</v>
      </c>
      <c r="I68" s="186">
        <f>'Desmontaje e Infraestructura'!K94</f>
        <v>0</v>
      </c>
    </row>
    <row r="69" spans="1:9" x14ac:dyDescent="0.25">
      <c r="B69" t="s">
        <v>540</v>
      </c>
      <c r="C69" s="184" t="str">
        <f>'Desmontaje e Infraestructura'!C95</f>
        <v>Interruptor automático de 2x20 A.curva C. Interruptor automático magnetotérmico de 2 x 20 A tipo C60N, de Schneider ó similar aprobado.</v>
      </c>
      <c r="D69" t="s">
        <v>33</v>
      </c>
      <c r="E69" s="148">
        <f>'Desmontaje e Infraestructura'!A95</f>
        <v>2</v>
      </c>
      <c r="F69" s="185">
        <f>'Desmontaje e Infraestructura'!E95</f>
        <v>15</v>
      </c>
      <c r="G69" s="186">
        <f t="shared" si="0"/>
        <v>30</v>
      </c>
      <c r="H69" s="187">
        <f>'Desmontaje e Infraestructura'!J95</f>
        <v>0</v>
      </c>
      <c r="I69" s="186">
        <f>'Desmontaje e Infraestructura'!K95</f>
        <v>0</v>
      </c>
    </row>
    <row r="70" spans="1:9" x14ac:dyDescent="0.25">
      <c r="B70" t="s">
        <v>541</v>
      </c>
      <c r="C70" s="184" t="str">
        <f>'Desmontaje e Infraestructura'!C96</f>
        <v>Interruptor automático de 2x16 A.curva C. Interruptor automático magnetotérmico de 2 x 16 A tipo C60N, de Schneider ó similar aprobado.</v>
      </c>
      <c r="D70" t="s">
        <v>33</v>
      </c>
      <c r="E70" s="148">
        <f>'Desmontaje e Infraestructura'!A96</f>
        <v>1</v>
      </c>
      <c r="F70" s="185">
        <f>'Desmontaje e Infraestructura'!E96</f>
        <v>15</v>
      </c>
      <c r="G70" s="186">
        <f t="shared" si="0"/>
        <v>15</v>
      </c>
      <c r="H70" s="187">
        <f>'Desmontaje e Infraestructura'!J96</f>
        <v>0</v>
      </c>
      <c r="I70" s="186">
        <f>'Desmontaje e Infraestructura'!K96</f>
        <v>0</v>
      </c>
    </row>
    <row r="71" spans="1:9" x14ac:dyDescent="0.25">
      <c r="B71" t="s">
        <v>625</v>
      </c>
      <c r="C71" s="184" t="str">
        <f>'Desmontaje e Infraestructura'!C97</f>
        <v>Interruptor diferencial 2x25 A. 300 mA. Clase AC. Suministro e instalación de Interruptor diferencial de 2x25 A, 300 mA. Clase AC, tipo iID de Schndeider o similar aprobado. Totalmente cableado y funcionando.</v>
      </c>
      <c r="D71" t="s">
        <v>33</v>
      </c>
      <c r="E71" s="148">
        <f>'Desmontaje e Infraestructura'!A97</f>
        <v>4</v>
      </c>
      <c r="F71" s="185">
        <f>'Desmontaje e Infraestructura'!E97</f>
        <v>35</v>
      </c>
      <c r="G71" s="186">
        <f t="shared" si="0"/>
        <v>140</v>
      </c>
      <c r="H71" s="187">
        <f>'Desmontaje e Infraestructura'!J97</f>
        <v>0</v>
      </c>
      <c r="I71" s="186">
        <f>'Desmontaje e Infraestructura'!K97</f>
        <v>0</v>
      </c>
    </row>
    <row r="72" spans="1:9" x14ac:dyDescent="0.25">
      <c r="B72" t="s">
        <v>542</v>
      </c>
      <c r="C72" s="184" t="str">
        <f>'Desmontaje e Infraestructura'!C99</f>
        <v>Legalización de la modificacion de la instalación eléctrica
Legalización de la modificacion realizada en la instalación eléctrica, incluyendo Memoria Técnica de Diseño, verificaciones necesarias, tasas, impuestos y cualquier otro gasto necesario hasta la obtención del Certificado de Instalación eléctrica en Baja Tensión, así como la tramitación del expediente por la DGIEM.</v>
      </c>
      <c r="D72" t="s">
        <v>33</v>
      </c>
      <c r="E72" s="148">
        <f>'Desmontaje e Infraestructura'!A99</f>
        <v>1</v>
      </c>
      <c r="F72" s="185">
        <f>'Desmontaje e Infraestructura'!E99</f>
        <v>519.5</v>
      </c>
      <c r="G72" s="186">
        <f t="shared" si="0"/>
        <v>519.5</v>
      </c>
      <c r="H72" s="187">
        <f>'Desmontaje e Infraestructura'!J99</f>
        <v>0</v>
      </c>
      <c r="I72" s="186">
        <f>'Desmontaje e Infraestructura'!K99</f>
        <v>0</v>
      </c>
    </row>
    <row r="73" spans="1:9" x14ac:dyDescent="0.25">
      <c r="B73" t="s">
        <v>543</v>
      </c>
      <c r="C73" s="184" t="str">
        <f>'Desmontaje e Infraestructura'!C101</f>
        <v>Partida alzada ayudas auxiliares en equipamiento y mano de obra de instalaciones</v>
      </c>
      <c r="D73" t="s">
        <v>33</v>
      </c>
      <c r="E73" s="148">
        <f>'Desmontaje e Infraestructura'!A101</f>
        <v>1</v>
      </c>
      <c r="F73" s="185">
        <f>'Desmontaje e Infraestructura'!E101</f>
        <v>1443.78</v>
      </c>
      <c r="G73" s="186">
        <f t="shared" si="0"/>
        <v>1443.78</v>
      </c>
      <c r="H73" s="187">
        <f>'Desmontaje e Infraestructura'!J101</f>
        <v>1443.78</v>
      </c>
      <c r="I73" s="186">
        <f>'Desmontaje e Infraestructura'!K101</f>
        <v>1443.78</v>
      </c>
    </row>
    <row r="74" spans="1:9" x14ac:dyDescent="0.25">
      <c r="B74" t="s">
        <v>544</v>
      </c>
      <c r="C74" s="184" t="str">
        <f>'Desmontaje e Infraestructura'!C102</f>
        <v>Partida alzada ayudas auxiliares en equipamiento y mano de obra de obra civil o albañilería</v>
      </c>
      <c r="D74" t="s">
        <v>33</v>
      </c>
      <c r="E74" s="148">
        <f>'Desmontaje e Infraestructura'!A102</f>
        <v>1</v>
      </c>
      <c r="F74" s="185">
        <f>'Desmontaje e Infraestructura'!E102</f>
        <v>1443.78</v>
      </c>
      <c r="G74" s="186">
        <f t="shared" si="0"/>
        <v>1443.78</v>
      </c>
      <c r="H74" s="187">
        <f>'Desmontaje e Infraestructura'!J102</f>
        <v>1443.78</v>
      </c>
      <c r="I74" s="186">
        <f>'Desmontaje e Infraestructura'!K102</f>
        <v>1443.78</v>
      </c>
    </row>
    <row r="75" spans="1:9" x14ac:dyDescent="0.25">
      <c r="A75" s="178" t="s">
        <v>504</v>
      </c>
      <c r="B75" s="178" t="s">
        <v>506</v>
      </c>
      <c r="C75" s="179" t="s">
        <v>438</v>
      </c>
      <c r="D75" s="178"/>
      <c r="E75" s="180"/>
      <c r="F75" s="181"/>
      <c r="G75" s="186"/>
      <c r="H75" s="183"/>
      <c r="I75" s="182"/>
    </row>
    <row r="76" spans="1:9" x14ac:dyDescent="0.25">
      <c r="B76" t="s">
        <v>505</v>
      </c>
      <c r="C76" s="184" t="str">
        <f>'Desmontaje e Infraestructura'!C107</f>
        <v>SAI de diseño compacto DELTA ULTRON HPH 20 KW GEN 2.</v>
      </c>
      <c r="D76" t="s">
        <v>33</v>
      </c>
      <c r="E76" s="148">
        <f>'Desmontaje e Infraestructura'!A107</f>
        <v>1</v>
      </c>
      <c r="F76" s="185">
        <f>'Desmontaje e Infraestructura'!E107</f>
        <v>5500</v>
      </c>
      <c r="G76" s="186">
        <f t="shared" si="0"/>
        <v>5500</v>
      </c>
      <c r="H76" s="187">
        <f>'Desmontaje e Infraestructura'!J107</f>
        <v>0</v>
      </c>
      <c r="I76" s="186">
        <f>'Desmontaje e Infraestructura'!K107</f>
        <v>0</v>
      </c>
    </row>
    <row r="77" spans="1:9" x14ac:dyDescent="0.25">
      <c r="B77" t="s">
        <v>507</v>
      </c>
      <c r="C77" s="184" t="str">
        <f>'Desmontaje e Infraestructura'!C108</f>
        <v>LEOCH con capacidad 12Ah, tensión nominal 12V, rango de temperatura de funcionamiento -20 a +60°C.</v>
      </c>
      <c r="D77" t="s">
        <v>33</v>
      </c>
      <c r="E77" s="148">
        <f>'Desmontaje e Infraestructura'!A108</f>
        <v>80</v>
      </c>
      <c r="F77" s="185">
        <f>'Desmontaje e Infraestructura'!E108</f>
        <v>55</v>
      </c>
      <c r="G77" s="186">
        <f t="shared" ref="G77:G82" si="1">ROUND(F77*E77,2)</f>
        <v>4400</v>
      </c>
      <c r="H77" s="187">
        <f>'Desmontaje e Infraestructura'!J108</f>
        <v>0</v>
      </c>
      <c r="I77" s="186">
        <f>'Desmontaje e Infraestructura'!K108</f>
        <v>0</v>
      </c>
    </row>
    <row r="78" spans="1:9" x14ac:dyDescent="0.25">
      <c r="B78" t="s">
        <v>626</v>
      </c>
      <c r="C78" s="184" t="str">
        <f>'Desmontaje e Infraestructura'!C110</f>
        <v>Interruptor automático de 4x32 A. curva C. Suministro e instalación de Interruptor automático magnetotérmico de 4 x 32 A tipo C60N, de Schneider ó similar aprobado. Totalmente cableado y en funcionamiento.</v>
      </c>
      <c r="D78" t="s">
        <v>33</v>
      </c>
      <c r="E78" s="148">
        <f>'Desmontaje e Infraestructura'!A110</f>
        <v>2</v>
      </c>
      <c r="F78" s="185">
        <f>'Desmontaje e Infraestructura'!E110</f>
        <v>40</v>
      </c>
      <c r="G78" s="186">
        <f t="shared" si="1"/>
        <v>80</v>
      </c>
      <c r="H78" s="187">
        <f>'Desmontaje e Infraestructura'!J110</f>
        <v>0</v>
      </c>
      <c r="I78" s="186">
        <f>'Desmontaje e Infraestructura'!K110</f>
        <v>0</v>
      </c>
    </row>
    <row r="79" spans="1:9" x14ac:dyDescent="0.25">
      <c r="B79" t="s">
        <v>627</v>
      </c>
      <c r="C79" s="184" t="str">
        <f>'Desmontaje e Infraestructura'!C111</f>
        <v>Interruptor diferencial 4x40 A. 300 mA. Clase AC. Suministro e instalación de Interruptor diferencial de 4x40 A, 300 mA. Clase AC, tipo iID de Schndeider o similar aprobado.</v>
      </c>
      <c r="D79" t="s">
        <v>33</v>
      </c>
      <c r="E79" s="148">
        <f>'Desmontaje e Infraestructura'!A111</f>
        <v>2</v>
      </c>
      <c r="F79" s="185">
        <f>'Desmontaje e Infraestructura'!E111</f>
        <v>120</v>
      </c>
      <c r="G79" s="186">
        <f t="shared" si="1"/>
        <v>240</v>
      </c>
      <c r="H79" s="187">
        <f>'Desmontaje e Infraestructura'!J111</f>
        <v>0</v>
      </c>
      <c r="I79" s="186">
        <f>'Desmontaje e Infraestructura'!K111</f>
        <v>0</v>
      </c>
    </row>
    <row r="80" spans="1:9" x14ac:dyDescent="0.25">
      <c r="B80" t="s">
        <v>508</v>
      </c>
      <c r="C80" s="184" t="str">
        <f>'Desmontaje e Infraestructura'!C113</f>
        <v>Legalización de la modificacion de la instalación eléctrica
Legalización de la modificacion realizada en la instalación eléctrica, incluyendo Memoria Técnica de Diseño, verificaciones necesarias, tasas, impuestos y cualquier otro gasto necesario hasta la obtención del Certificado de Instalación eléctrica en Baja Tensión, así como la tramitación del expediente por la DGIEM.</v>
      </c>
      <c r="D80" t="s">
        <v>33</v>
      </c>
      <c r="E80" s="148">
        <f>'Desmontaje e Infraestructura'!A113</f>
        <v>1</v>
      </c>
      <c r="F80" s="185">
        <f>'Desmontaje e Infraestructura'!E113</f>
        <v>519.5</v>
      </c>
      <c r="G80" s="186">
        <f t="shared" si="1"/>
        <v>519.5</v>
      </c>
      <c r="H80" s="187">
        <f>'Desmontaje e Infraestructura'!J113</f>
        <v>0</v>
      </c>
      <c r="I80" s="186">
        <f>'Desmontaje e Infraestructura'!K113</f>
        <v>0</v>
      </c>
    </row>
    <row r="81" spans="1:9" x14ac:dyDescent="0.25">
      <c r="B81" t="s">
        <v>509</v>
      </c>
      <c r="C81" s="184" t="str">
        <f>'Desmontaje e Infraestructura'!C115</f>
        <v>Partida alzada ayudas auxiliares en equipamiento y mano de obra de instalaciones</v>
      </c>
      <c r="D81" t="s">
        <v>33</v>
      </c>
      <c r="E81" s="148">
        <f>'Desmontaje e Infraestructura'!A115</f>
        <v>1</v>
      </c>
      <c r="F81" s="185">
        <f>'Desmontaje e Infraestructura'!E115</f>
        <v>536.97500000000002</v>
      </c>
      <c r="G81" s="186">
        <f t="shared" si="1"/>
        <v>536.98</v>
      </c>
      <c r="H81" s="187">
        <f>'Desmontaje e Infraestructura'!J115</f>
        <v>536.97500000000002</v>
      </c>
      <c r="I81" s="186">
        <f>'Desmontaje e Infraestructura'!K115</f>
        <v>536.97500000000002</v>
      </c>
    </row>
    <row r="82" spans="1:9" x14ac:dyDescent="0.25">
      <c r="B82" t="s">
        <v>510</v>
      </c>
      <c r="C82" s="184" t="str">
        <f>'Desmontaje e Infraestructura'!C116</f>
        <v>Partida alzada ayudas auxiliares en equipamiento y mano de obra de obra civil o albañilería</v>
      </c>
      <c r="D82" t="s">
        <v>33</v>
      </c>
      <c r="E82" s="148">
        <f>'Desmontaje e Infraestructura'!A116</f>
        <v>1</v>
      </c>
      <c r="F82" s="185">
        <f>'Desmontaje e Infraestructura'!E116</f>
        <v>536.97500000000002</v>
      </c>
      <c r="G82" s="186">
        <f t="shared" si="1"/>
        <v>536.98</v>
      </c>
      <c r="H82" s="187">
        <f>'Desmontaje e Infraestructura'!J116</f>
        <v>536.97500000000002</v>
      </c>
      <c r="I82" s="186">
        <f>'Desmontaje e Infraestructura'!K116</f>
        <v>536.97500000000002</v>
      </c>
    </row>
    <row r="83" spans="1:9" s="176" customFormat="1" x14ac:dyDescent="0.25">
      <c r="A83" s="176" t="s">
        <v>36</v>
      </c>
      <c r="B83" s="176" t="s">
        <v>32</v>
      </c>
      <c r="C83" s="188" t="s">
        <v>42</v>
      </c>
      <c r="E83" s="173"/>
      <c r="F83" s="174"/>
      <c r="G83" s="186"/>
      <c r="H83" s="189"/>
      <c r="I83" s="175"/>
    </row>
    <row r="84" spans="1:9" s="178" customFormat="1" x14ac:dyDescent="0.25">
      <c r="A84" s="178" t="s">
        <v>349</v>
      </c>
      <c r="B84" s="178" t="s">
        <v>43</v>
      </c>
      <c r="C84" s="179" t="s">
        <v>143</v>
      </c>
      <c r="E84" s="180"/>
      <c r="F84" s="181"/>
      <c r="G84" s="186"/>
      <c r="H84" s="183"/>
      <c r="I84" s="182"/>
    </row>
    <row r="85" spans="1:9" s="178" customFormat="1" x14ac:dyDescent="0.25">
      <c r="B85" t="s">
        <v>322</v>
      </c>
      <c r="C85" s="184" t="str">
        <f>LEFT('Centro Control'!C22,50)</f>
        <v>HPE ALLETRA STORAGE SERVER 4120 – 480TB Mínimo 4 n</v>
      </c>
      <c r="D85" t="s">
        <v>33</v>
      </c>
      <c r="E85" s="148">
        <f>'Centro Control'!A22</f>
        <v>1</v>
      </c>
      <c r="F85" s="185">
        <f>'Centro Control'!E22</f>
        <v>75668</v>
      </c>
      <c r="G85" s="186">
        <f t="shared" ref="G85" si="2">ROUND(F85*E85,2)</f>
        <v>75668</v>
      </c>
      <c r="H85" s="187">
        <f>'Centro Control'!J22</f>
        <v>0</v>
      </c>
      <c r="I85" s="186">
        <f>'Centro Control'!K22</f>
        <v>0</v>
      </c>
    </row>
    <row r="86" spans="1:9" s="178" customFormat="1" x14ac:dyDescent="0.25">
      <c r="B86" t="s">
        <v>323</v>
      </c>
      <c r="C86" s="184" t="str">
        <f>'Centro Control'!C23</f>
        <v>Cisco 25GBASE-SR SFP Module.Longitud de enlace. Soporta una longitud de enlace de hasta 70m en fibra multimodo OM35. Alcanza hasta 100m en fibra multimodo OM45.Requiere RS-FEC (Reed-Solomon Forward Error Correction) en los puertos del host. Compatibilidad e interoperabilidad. Compatible con otras interfaces 25G que cumplen con los estándares IEEE3. Cumple con las especificaciones IEEE 802.3by y IEEE 802.3cc para conectividad de alta velocidad48. Rendimiento y fiabilidad.Ofrece una tasa de datos de 25 Gbps3. Utiliza conectores LC dúplex3. Certificado y probado en puertos Cisco SFP28 para garantizar un rendimiento y fiabilidad superiores. Características adicionales.
Módulo hot-pluggable (intercambiable en caliente). Incluye funciones de monitoreo digital de diagnóstico (DDM/DOM).Cumple con las especificaciones RoHS5.</v>
      </c>
      <c r="D86" t="s">
        <v>33</v>
      </c>
      <c r="E86" s="148">
        <f>'Centro Control'!A23</f>
        <v>2</v>
      </c>
      <c r="F86" s="185">
        <f>'Centro Control'!E23</f>
        <v>450</v>
      </c>
      <c r="G86" s="186">
        <f t="shared" ref="G86:G133" si="3">ROUND(F86*E86,2)</f>
        <v>900</v>
      </c>
      <c r="H86" s="187">
        <f>'Centro Control'!J23</f>
        <v>0</v>
      </c>
      <c r="I86" s="186">
        <f>'Centro Control'!K23</f>
        <v>0</v>
      </c>
    </row>
    <row r="87" spans="1:9" s="178" customFormat="1" x14ac:dyDescent="0.25">
      <c r="B87" t="s">
        <v>609</v>
      </c>
      <c r="C87" s="184" t="str">
        <f>'Centro Control'!C24</f>
        <v>Cables Parcheado Panduit FZ2RLU1U1NNM003
Tipo de Fibra: OM4. Número de Fibras: 2. Tipo de Conector 1: LC Dúplex
Tipo de Conector 2: LC Dúplex. Submarca: Opti-Core®. Clasificación de Inflamabilidad: LSZH (Baja emisión de humos, cero halógenos). Rendimiento de Pérdida por Inserción: Ultra Bajo. Diámetro de la Fibra (μm): 0.4. Diámetro Exterior (pulgadas): 0.08. Diámetro Exterior (mm): 2
Longitud Total (pies): 9.8. Longitud Total (metros): 3. Color del Cable: Aqua. Tipo de Producto: Cable de conexión LC (LC Patch Cord). 
Normativas Cumplidas: Cumple con RoHS. Cumple o excede ISO/IEC 11801, TIA/EIA-568-C.3, TIA-604-3 (FOCIS-3), TIA-604-10 (FOCIS-10). Todos los componentes del cable cumplen con los requisitos de la Directiva 2002/95/EC. Características del Producto: OM4, conector Uniboot con sistema de extracción, LC Dúplex, Baja emisión de humos y cero halógenos (LSZH), Multimodo, Ultra baja pérdida por inserción.</v>
      </c>
      <c r="D87" t="s">
        <v>33</v>
      </c>
      <c r="E87" s="148">
        <f>'Centro Control'!A24</f>
        <v>4</v>
      </c>
      <c r="F87" s="185">
        <f>'Centro Control'!E24</f>
        <v>75</v>
      </c>
      <c r="G87" s="186">
        <f t="shared" si="3"/>
        <v>300</v>
      </c>
      <c r="H87" s="187">
        <f>'Centro Control'!J24</f>
        <v>0</v>
      </c>
      <c r="I87" s="186">
        <f>'Centro Control'!K24</f>
        <v>0</v>
      </c>
    </row>
    <row r="88" spans="1:9" s="178" customFormat="1" x14ac:dyDescent="0.25">
      <c r="B88" t="s">
        <v>324</v>
      </c>
      <c r="C88" s="184" t="str">
        <f>'Centro Control'!C25</f>
        <v>Cables Parcheado FO LC-LC 15 metros multimodo OM4/OM5 
Conector A LC UPC Dúplex Conector B LC UPC Dúplex Cantidad de fibras 2 fibras Grado de fibra Insensible a la curvatura Modo de fibra OM4 50/125μm Longitud de onda 850/1300nm Polaridad A (Tx) a B (Rx) 
Tipo de cable Búfer ajustado Diámetro exterior del cable (OD) 2.0mm 
Cubierta del cable Riser (OFNR) Radio de curvatura mínimo (fibra óptica) 7.5mm Radio de curvatura mínimo (cable de fibra) 20/10D (dinámico/estático) Durabilidad del conector 1000 veces Resistencia a la tracción (a largo/corto plazo) 90/150N Pérdida de inserción ≤0.3dB 
Pérdida de retorno ≥30dB Atenuación a 850 nm 3.0dB/km Atenuación a 1300 nm 1.0dB/km Temperatura de funcionamiento -20 a 70°C (-4 a 158℉) Temperatura de almacenamiento -40 a 80°C (-40 a 176℉)</v>
      </c>
      <c r="D88" t="s">
        <v>33</v>
      </c>
      <c r="E88" s="148">
        <f>'Centro Control'!A25</f>
        <v>4</v>
      </c>
      <c r="F88" s="185">
        <f>'Centro Control'!E25</f>
        <v>95</v>
      </c>
      <c r="G88" s="186">
        <f t="shared" si="3"/>
        <v>380</v>
      </c>
      <c r="H88" s="187">
        <f>'Centro Control'!J25</f>
        <v>0</v>
      </c>
      <c r="I88" s="186">
        <f>'Centro Control'!K25</f>
        <v>0</v>
      </c>
    </row>
    <row r="89" spans="1:9" x14ac:dyDescent="0.25">
      <c r="B89" t="s">
        <v>629</v>
      </c>
      <c r="C89" s="184" t="str">
        <f>'Centro Control'!C27</f>
        <v>Streamvault™ 2040E Series - 2U 15-bahias Enrackable
288TB Raw RAID 6 1x Xeon Silver 4416+ 32GB RAM 2x
480GB M.2 NVMe SSD 12x 24TB SATA 2x 1GbE RJ45 + 2x 10/25GbE SPF28 2x 1100W PSU. Incluye licencia Windows Server Standard 5años NBD KYHD Garantía - Genetec™ Security Center pre-instalado.</v>
      </c>
      <c r="D89" t="s">
        <v>33</v>
      </c>
      <c r="E89" s="148">
        <f>'Centro Control'!A27</f>
        <v>1</v>
      </c>
      <c r="F89" s="185">
        <f>'Centro Control'!E27</f>
        <v>46600</v>
      </c>
      <c r="G89" s="186">
        <f t="shared" si="3"/>
        <v>46600</v>
      </c>
      <c r="H89" s="187">
        <f>'Centro Control'!J27</f>
        <v>0</v>
      </c>
      <c r="I89" s="186">
        <f>'Centro Control'!K27</f>
        <v>0</v>
      </c>
    </row>
    <row r="90" spans="1:9" x14ac:dyDescent="0.25">
      <c r="B90" t="s">
        <v>325</v>
      </c>
      <c r="C90" s="184" t="str">
        <f>'Centro Control'!C29</f>
        <v>Paquete base empresarial (Enterpise) de Genetec Security Center (GSC). Incluye el paquete Synergis Enterprise con soporte de Access Manage, Remote Security Desk y Badge Designer. Incluye el paquete Omnicast Enterprise con soporte para archivado y archivado auxiliar, enrutador multimedia, audio, escritorio de seguridad remoto, secuencias de cámara, bloqueo de cámara, corrección de distorsión de cámara, cámaras de conmutación por error, compatibilidad con matriz de hardware, zona horaria, grabación perimetral, transferencia de archivos y goteo, teclado y joystick Apoyo. Incluye el paquete estándar AutoVu. Otras características incluyeron: módulo de nivel de amenaza, Plan Manager Advanced para servidores de mapas GIS con entidades ilimitadas, un paquete estándar para vigilancia de áreas de seguridad restringidas, integración de Active Directory, una función de autenticación, una conexión de servicios de federación de Active Directory y una función de directorio de conmutación por error.</v>
      </c>
      <c r="D90" t="s">
        <v>33</v>
      </c>
      <c r="E90" s="148">
        <f>'Centro Control'!A29</f>
        <v>1</v>
      </c>
      <c r="F90" s="185">
        <f>'Centro Control'!E29</f>
        <v>1160</v>
      </c>
      <c r="G90" s="186">
        <f t="shared" si="3"/>
        <v>1160</v>
      </c>
      <c r="H90" s="187">
        <f>'Centro Control'!J29</f>
        <v>0</v>
      </c>
      <c r="I90" s="186">
        <f>'Centro Control'!K29</f>
        <v>0</v>
      </c>
    </row>
    <row r="91" spans="1:9" x14ac:dyDescent="0.25">
      <c r="B91" t="s">
        <v>630</v>
      </c>
      <c r="C91" s="184" t="str">
        <f>'Centro Control'!C30</f>
        <v xml:space="preserve">Conexión al directorio de Federación Security Center 4.0 (o superior). </v>
      </c>
      <c r="D91" t="s">
        <v>33</v>
      </c>
      <c r="E91" s="148">
        <f>'Centro Control'!A30</f>
        <v>1</v>
      </c>
      <c r="F91" s="185">
        <f>'Centro Control'!E30</f>
        <v>770</v>
      </c>
      <c r="G91" s="186">
        <f t="shared" si="3"/>
        <v>770</v>
      </c>
      <c r="H91" s="187">
        <f>'Centro Control'!J30</f>
        <v>0</v>
      </c>
      <c r="I91" s="186">
        <f>'Centro Control'!K30</f>
        <v>0</v>
      </c>
    </row>
    <row r="92" spans="1:9" x14ac:dyDescent="0.25">
      <c r="B92" t="s">
        <v>608</v>
      </c>
      <c r="C92" s="184" t="str">
        <f>'Centro Control'!C31</f>
        <v>Licencia se sincronización de titulares globales del sistema</v>
      </c>
      <c r="D92" t="s">
        <v>33</v>
      </c>
      <c r="E92" s="148">
        <f>'Centro Control'!A31</f>
        <v>1</v>
      </c>
      <c r="F92" s="185">
        <f>'Centro Control'!E31</f>
        <v>1510</v>
      </c>
      <c r="G92" s="186">
        <f t="shared" si="3"/>
        <v>1510</v>
      </c>
      <c r="H92" s="187">
        <f>'Centro Control'!J31</f>
        <v>0</v>
      </c>
      <c r="I92" s="186">
        <f>'Centro Control'!K31</f>
        <v>0</v>
      </c>
    </row>
    <row r="93" spans="1:9" x14ac:dyDescent="0.25">
      <c r="B93" t="s">
        <v>326</v>
      </c>
      <c r="C93" s="184" t="str">
        <f>'Centro Control'!C32</f>
        <v>Conexión de cámara Profesional</v>
      </c>
      <c r="D93" t="s">
        <v>33</v>
      </c>
      <c r="E93" s="148">
        <f>'Centro Control'!A32</f>
        <v>164</v>
      </c>
      <c r="F93" s="185">
        <f>'Centro Control'!E32</f>
        <v>231</v>
      </c>
      <c r="G93" s="186">
        <f t="shared" si="3"/>
        <v>37884</v>
      </c>
      <c r="H93" s="187">
        <f>'Centro Control'!J32</f>
        <v>0</v>
      </c>
      <c r="I93" s="186">
        <f>'Centro Control'!K32</f>
        <v>0</v>
      </c>
    </row>
    <row r="94" spans="1:9" x14ac:dyDescent="0.25">
      <c r="B94" t="s">
        <v>327</v>
      </c>
      <c r="C94" s="184" t="str">
        <f>'Centro Control'!C34</f>
        <v>1 conexión de lector SharpV para reconocimiento de matrículas como credencial</v>
      </c>
      <c r="D94" t="s">
        <v>33</v>
      </c>
      <c r="E94" s="148">
        <f>'Centro Control'!A34</f>
        <v>2</v>
      </c>
      <c r="F94" s="185">
        <f>'Centro Control'!E34</f>
        <v>116</v>
      </c>
      <c r="G94" s="186">
        <f t="shared" si="3"/>
        <v>232</v>
      </c>
      <c r="H94" s="187">
        <f>'Centro Control'!J34</f>
        <v>0</v>
      </c>
      <c r="I94" s="186">
        <f>'Centro Control'!K34</f>
        <v>0</v>
      </c>
    </row>
    <row r="95" spans="1:9" x14ac:dyDescent="0.25">
      <c r="B95" t="s">
        <v>607</v>
      </c>
      <c r="C95" s="184" t="str">
        <f>'Centro Control'!C36</f>
        <v xml:space="preserve">Armario de llaves Traka Touch máx 6 Llaveros - Negro Llavero CAN 10 pos.Touch Bloqueado (c/Led-c/botón) Módulo activación de liberación de emergencia (1U), Incluye 50 Sellados de seguridad Traka, etiquetas numeradas, sistema TrakaWeb PRO PLUS, integración lector, instalación y transporte. Serie S Traka Touch PRO - máx 6 Llaveros - Negro - Llavero CAN 10 pos.Touch Bloqueado (c/Led-c/Botón) - Sellados de seguridad Traka (mínimo 10) - Negros
</v>
      </c>
      <c r="D95" t="s">
        <v>33</v>
      </c>
      <c r="E95" s="148">
        <f>'Centro Control'!A36</f>
        <v>1</v>
      </c>
      <c r="F95" s="185">
        <f>'Centro Control'!E36</f>
        <v>18189.8</v>
      </c>
      <c r="G95" s="186">
        <f t="shared" si="3"/>
        <v>18189.8</v>
      </c>
      <c r="H95" s="187">
        <f>'Centro Control'!J36</f>
        <v>0</v>
      </c>
      <c r="I95" s="186">
        <f>'Centro Control'!K36</f>
        <v>0</v>
      </c>
    </row>
    <row r="96" spans="1:9" x14ac:dyDescent="0.25">
      <c r="B96" t="s">
        <v>631</v>
      </c>
      <c r="C96" s="184" t="str">
        <f>'Centro Control'!C37</f>
        <v xml:space="preserve">1 TRAKA Key Management por armario.  Requiere 1 GSC-1P-KeyCabinetBase por sistema GSC para la gestión de KeyCabinets. </v>
      </c>
      <c r="D96" t="s">
        <v>33</v>
      </c>
      <c r="E96" s="148">
        <f>'Centro Control'!A37</f>
        <v>1</v>
      </c>
      <c r="F96" s="185">
        <f>'Centro Control'!E37</f>
        <v>390</v>
      </c>
      <c r="G96" s="186">
        <f t="shared" si="3"/>
        <v>390</v>
      </c>
      <c r="H96" s="187">
        <f>'Centro Control'!J37</f>
        <v>0</v>
      </c>
      <c r="I96" s="186">
        <f>'Centro Control'!K37</f>
        <v>0</v>
      </c>
    </row>
    <row r="97" spans="2:9" x14ac:dyDescent="0.25">
      <c r="B97" t="s">
        <v>328</v>
      </c>
      <c r="C97" s="184" t="str">
        <f>'Centro Control'!C38</f>
        <v xml:space="preserve">1 Plugin base de Asset Management.  Requiere de licencias adicionales de armario. </v>
      </c>
      <c r="D97" t="s">
        <v>33</v>
      </c>
      <c r="E97" s="148">
        <f>'Centro Control'!A38</f>
        <v>1</v>
      </c>
      <c r="F97" s="185">
        <f>'Centro Control'!E38</f>
        <v>1160</v>
      </c>
      <c r="G97" s="186">
        <f t="shared" si="3"/>
        <v>1160</v>
      </c>
      <c r="H97" s="187">
        <f>'Centro Control'!J38</f>
        <v>0</v>
      </c>
      <c r="I97" s="186">
        <f>'Centro Control'!K38</f>
        <v>0</v>
      </c>
    </row>
    <row r="98" spans="2:9" x14ac:dyDescent="0.25">
      <c r="B98" t="s">
        <v>329</v>
      </c>
      <c r="C98" s="184" t="str">
        <f>'Centro Control'!C39</f>
        <v>Lector Mifare Desfire EV3 compatible con EV2 y EV1 ARC 1- Secure Architect® One Mullion - Protocolo OSDP - Interfaz RS485 - Conector enchufable/desconectable Cable de 3 m - Color: Negro</v>
      </c>
      <c r="D98" t="s">
        <v>33</v>
      </c>
      <c r="E98" s="148">
        <f>'Centro Control'!A39</f>
        <v>1</v>
      </c>
      <c r="F98" s="185">
        <f>'Centro Control'!E39</f>
        <v>265</v>
      </c>
      <c r="G98" s="186">
        <f t="shared" si="3"/>
        <v>265</v>
      </c>
      <c r="H98" s="187">
        <f>'Centro Control'!J39</f>
        <v>0</v>
      </c>
      <c r="I98" s="186">
        <f>'Centro Control'!K39</f>
        <v>0</v>
      </c>
    </row>
    <row r="99" spans="2:9" x14ac:dyDescent="0.25">
      <c r="B99" t="s">
        <v>632</v>
      </c>
      <c r="C99" s="184" t="str">
        <f>'Centro Control'!C40</f>
        <v>Protección antivandálica para Lector - Junta adhesiva +
tornillos antivandálicos</v>
      </c>
      <c r="D99" t="s">
        <v>33</v>
      </c>
      <c r="E99" s="148">
        <f>'Centro Control'!A40</f>
        <v>1</v>
      </c>
      <c r="F99" s="185">
        <f>'Centro Control'!E40</f>
        <v>50</v>
      </c>
      <c r="G99" s="186">
        <f t="shared" si="3"/>
        <v>50</v>
      </c>
      <c r="H99" s="187">
        <f>'Centro Control'!J40</f>
        <v>0</v>
      </c>
      <c r="I99" s="186">
        <f>'Centro Control'!K40</f>
        <v>0</v>
      </c>
    </row>
    <row r="100" spans="2:9" x14ac:dyDescent="0.25">
      <c r="B100" t="s">
        <v>330</v>
      </c>
      <c r="C100" s="184" t="str">
        <f>'Centro Control'!C41</f>
        <v>Kit de programación para Bluetooth® Smart/Ultralight® C/MIFARE® Classic y Classic EV1/MIFARE Plus®/DESFire® EV1 y EV2/NFC HCE + Software SECard</v>
      </c>
      <c r="D100" t="s">
        <v>33</v>
      </c>
      <c r="E100" s="148">
        <f>'Centro Control'!A41</f>
        <v>1</v>
      </c>
      <c r="F100" s="185">
        <f>'Centro Control'!E41</f>
        <v>1181</v>
      </c>
      <c r="G100" s="186">
        <f t="shared" si="3"/>
        <v>1181</v>
      </c>
      <c r="H100" s="187">
        <f>'Centro Control'!J41</f>
        <v>0</v>
      </c>
      <c r="I100" s="186">
        <f>'Centro Control'!K41</f>
        <v>0</v>
      </c>
    </row>
    <row r="101" spans="2:9" x14ac:dyDescent="0.25">
      <c r="B101" t="s">
        <v>331</v>
      </c>
      <c r="C101" s="184" t="str">
        <f>'Centro Control'!C42</f>
        <v>Latiguillo de 4 pares RJ45-RJ45 de Categoría 6a sin apantallar diseño UTP para transmisión de datos hasta 1Gigabit Ethernet, diámetro de 6 mm, cubierta libre de halógenos LSZH.Manguito especial transparente, estrecho y pestaña "anti-enganches"</v>
      </c>
      <c r="D101" t="s">
        <v>33</v>
      </c>
      <c r="E101" s="148">
        <f>'Centro Control'!A42</f>
        <v>2</v>
      </c>
      <c r="F101" s="185">
        <f>'Centro Control'!E42</f>
        <v>6.2</v>
      </c>
      <c r="G101" s="186">
        <f t="shared" si="3"/>
        <v>12.4</v>
      </c>
      <c r="H101" s="187">
        <f>'Centro Control'!J42</f>
        <v>0</v>
      </c>
      <c r="I101" s="186">
        <f>'Centro Control'!K42</f>
        <v>0</v>
      </c>
    </row>
    <row r="102" spans="2:9" x14ac:dyDescent="0.25">
      <c r="B102" t="s">
        <v>332</v>
      </c>
      <c r="C102" s="184" t="str">
        <f>'Centro Control'!C44</f>
        <v>Switch Layer 2+ 24 puertos Gigabit Ethernet cobre PoE+ y 4 SPF Gigabit (384W)</v>
      </c>
      <c r="D102" t="s">
        <v>33</v>
      </c>
      <c r="E102" s="148">
        <f>'Centro Control'!A44</f>
        <v>1</v>
      </c>
      <c r="F102" s="185">
        <f>'Centro Control'!E44</f>
        <v>485</v>
      </c>
      <c r="G102" s="186">
        <f t="shared" si="3"/>
        <v>485</v>
      </c>
      <c r="H102" s="187">
        <f>'Centro Control'!J44</f>
        <v>0</v>
      </c>
      <c r="I102" s="186">
        <f>'Centro Control'!K44</f>
        <v>0</v>
      </c>
    </row>
    <row r="103" spans="2:9" x14ac:dyDescent="0.25">
      <c r="B103" t="s">
        <v>610</v>
      </c>
      <c r="C103" s="184" t="str">
        <f>'Centro Control'!C45</f>
        <v>Conmutador administrado JetStream de 24 puertos SFP L2+ con 4 ranuras 10GE SFP+</v>
      </c>
      <c r="D103" t="s">
        <v>33</v>
      </c>
      <c r="E103" s="148">
        <f>'Centro Control'!A45</f>
        <v>2</v>
      </c>
      <c r="F103" s="185">
        <f>'Centro Control'!E45</f>
        <v>636</v>
      </c>
      <c r="G103" s="186">
        <f t="shared" si="3"/>
        <v>1272</v>
      </c>
      <c r="H103" s="187">
        <f>'Centro Control'!J45</f>
        <v>0</v>
      </c>
      <c r="I103" s="186">
        <f>'Centro Control'!K45</f>
        <v>0</v>
      </c>
    </row>
    <row r="104" spans="2:9" x14ac:dyDescent="0.25">
      <c r="B104" t="s">
        <v>333</v>
      </c>
      <c r="C104" s="184" t="str">
        <f>'Centro Control'!C46</f>
        <v>Módulo transceptor de fibra óptica 10Gbps SFP+ 10km (-40~75 grados C) MTB-TLR 10000 Mbit/s Single Mode. Un solo conector SC.</v>
      </c>
      <c r="D104" t="s">
        <v>33</v>
      </c>
      <c r="E104" s="148">
        <f>'Centro Control'!A46</f>
        <v>52</v>
      </c>
      <c r="F104" s="185">
        <f>'Centro Control'!E46</f>
        <v>60</v>
      </c>
      <c r="G104" s="186">
        <f t="shared" si="3"/>
        <v>3120</v>
      </c>
      <c r="H104" s="187">
        <f>'Centro Control'!J46</f>
        <v>0</v>
      </c>
      <c r="I104" s="186">
        <f>'Centro Control'!K46</f>
        <v>0</v>
      </c>
    </row>
    <row r="105" spans="2:9" x14ac:dyDescent="0.25">
      <c r="B105" t="s">
        <v>334</v>
      </c>
      <c r="C105" s="184" t="str">
        <f>'Centro Control'!C47</f>
        <v>Patch panel rack 24 RJ45 Cat.6A FTP 1U. 
Negro con peine para gestión de cables. Patch Panel de 1U formato rack de 19" para la gestión de conexiones de red en cualquier armario rack.Panel que ofrece 24 puertos RJ45 STP/FTP 568B de categoría 6A, ideal para aplicaciones de alta velocidad. Tamaño: 1U. Compatible con racks de 19". 24 conectores RJ45 STP/FTP. Categoría 6A (CAT.6A). Configuración 568B. Peine en la parte trasera para ordenar los cables y toma de tierra para conexión al armario rack.</v>
      </c>
      <c r="D105" t="s">
        <v>33</v>
      </c>
      <c r="E105" s="148">
        <f>'Centro Control'!A47</f>
        <v>1</v>
      </c>
      <c r="F105" s="185">
        <f>'Centro Control'!E47</f>
        <v>65</v>
      </c>
      <c r="G105" s="186">
        <f t="shared" si="3"/>
        <v>65</v>
      </c>
      <c r="H105" s="187">
        <f>'Centro Control'!J47</f>
        <v>0</v>
      </c>
      <c r="I105" s="186">
        <f>'Centro Control'!K47</f>
        <v>0</v>
      </c>
    </row>
    <row r="106" spans="2:9" x14ac:dyDescent="0.25">
      <c r="B106" t="s">
        <v>335</v>
      </c>
      <c r="C106" s="184" t="str">
        <f>'Centro Control'!C48</f>
        <v xml:space="preserve">Bandeja 19" Extraible de Fibra Óptica para 48 conectores. 
Bandeja para alojamiento de fusiones de fibra óptica con capacidad para alojar hasta 48 fusiones de fibra óptica en su interior. Capacidad de alojamiento hasta 48 conectores. Incluye en la parte frontal 48 conectores enfrentadores tipo SC/APC. Profundidad: 240mm. Ancho: 444mm, 19". Altura: 44mm 1U. Peso: 3kg
</v>
      </c>
      <c r="D106" t="s">
        <v>33</v>
      </c>
      <c r="E106" s="148">
        <f>'Centro Control'!A48</f>
        <v>2</v>
      </c>
      <c r="F106" s="185">
        <f>'Centro Control'!E48</f>
        <v>60</v>
      </c>
      <c r="G106" s="186">
        <f t="shared" si="3"/>
        <v>120</v>
      </c>
      <c r="H106" s="187">
        <f>'Centro Control'!J48</f>
        <v>0</v>
      </c>
      <c r="I106" s="186">
        <f>'Centro Control'!K48</f>
        <v>0</v>
      </c>
    </row>
    <row r="107" spans="2:9" x14ac:dyDescent="0.25">
      <c r="B107" t="s">
        <v>633</v>
      </c>
      <c r="C107" s="184" t="str">
        <f>'Centro Control'!C49</f>
        <v>Workstation GENETEC. Plataforma Hardware Dell Pro-Max Tower T2. Unidad OS 1x 1TB SSD. Procesador Intel Core Ultra 7 265k. Fuente de Alimentación 1x 1500W PSU. Memoria 32 GB (2x 16GB DDR5 UDIMM Non-ECC 5600 MT/s). Puertos de Memoria 4x DDR5 (2x completos por defecto). NIC 1x 1GbE RJ45. Tarjeta Gráfica 1x NVIDIA RTX 2000 Ada (4x Mini-DisplayPort)</v>
      </c>
      <c r="D107" t="s">
        <v>33</v>
      </c>
      <c r="E107" s="148">
        <f>'Centro Control'!A49</f>
        <v>1</v>
      </c>
      <c r="F107" s="185">
        <f>'Centro Control'!E49</f>
        <v>6500</v>
      </c>
      <c r="G107" s="186">
        <f t="shared" si="3"/>
        <v>6500</v>
      </c>
      <c r="H107" s="187">
        <f>'Centro Control'!J49</f>
        <v>0</v>
      </c>
      <c r="I107" s="186">
        <f>'Centro Control'!K49</f>
        <v>0</v>
      </c>
    </row>
    <row r="108" spans="2:9" x14ac:dyDescent="0.25">
      <c r="B108" t="s">
        <v>336</v>
      </c>
      <c r="C108" s="184" t="str">
        <f>'Centro Control'!C50</f>
        <v>Sistema modular con teclado y joystick independientes. Solución completa módulos para la gestión de cámara y vídeo.</v>
      </c>
      <c r="D108" t="s">
        <v>33</v>
      </c>
      <c r="E108" s="148">
        <f>'Centro Control'!A50</f>
        <v>1</v>
      </c>
      <c r="F108" s="185">
        <f>'Centro Control'!E50</f>
        <v>1019</v>
      </c>
      <c r="G108" s="186">
        <f t="shared" si="3"/>
        <v>1019</v>
      </c>
      <c r="H108" s="187">
        <f>'Centro Control'!J50</f>
        <v>0</v>
      </c>
      <c r="I108" s="186">
        <f>'Centro Control'!K50</f>
        <v>0</v>
      </c>
    </row>
    <row r="109" spans="2:9" x14ac:dyDescent="0.25">
      <c r="B109" t="s">
        <v>337</v>
      </c>
      <c r="C109" s="184" t="str">
        <f>'Centro Control'!C51</f>
        <v>Terminal Grandstream para atención a videoporteros GXV3350 Teléfono multimedia IP de 16 líneas, con pantalla táctil capacitiva de 5” sistema operativo Android 7,0, Cámara inclinable CMOS de 1M, agrega dos puertos Gigabit con PoE/PoE+, Wi-Fi doble banda y Bluetooth integrado, Altavoz HD de micrófono dual con reducción de ruido.</v>
      </c>
      <c r="D109" t="s">
        <v>33</v>
      </c>
      <c r="E109" s="148">
        <f>'Centro Control'!A51</f>
        <v>1</v>
      </c>
      <c r="F109" s="185">
        <f>'Centro Control'!E51</f>
        <v>428</v>
      </c>
      <c r="G109" s="186">
        <f t="shared" si="3"/>
        <v>428</v>
      </c>
      <c r="H109" s="187">
        <f>'Centro Control'!J51</f>
        <v>0</v>
      </c>
      <c r="I109" s="186">
        <f>'Centro Control'!K51</f>
        <v>0</v>
      </c>
    </row>
    <row r="110" spans="2:9" x14ac:dyDescent="0.25">
      <c r="B110" t="s">
        <v>338</v>
      </c>
      <c r="C110" s="184" t="str">
        <f>'Centro Control'!C52</f>
        <v>Conexión a una estación de intercomunicación que incluye conmutación por error y grabación de audio y vídeo bidireccional</v>
      </c>
      <c r="D110" t="s">
        <v>33</v>
      </c>
      <c r="E110" s="148">
        <f>'Centro Control'!A52</f>
        <v>1</v>
      </c>
      <c r="F110" s="185">
        <f>'Centro Control'!E52</f>
        <v>228</v>
      </c>
      <c r="G110" s="186">
        <f t="shared" si="3"/>
        <v>228</v>
      </c>
      <c r="H110" s="187">
        <f>'Centro Control'!J52</f>
        <v>0</v>
      </c>
      <c r="I110" s="186">
        <f>'Centro Control'!K52</f>
        <v>0</v>
      </c>
    </row>
    <row r="111" spans="2:9" x14ac:dyDescent="0.25">
      <c r="B111" t="s">
        <v>339</v>
      </c>
      <c r="C111" s="184" t="str">
        <f>'Centro Control'!C53</f>
        <v xml:space="preserve">Consola control 4 equipos. Barrera Entrada, Barrera Salida, Portón Entrada, Portón Salida.   </v>
      </c>
      <c r="D111" t="s">
        <v>33</v>
      </c>
      <c r="E111" s="148">
        <f>'Centro Control'!A53</f>
        <v>1</v>
      </c>
      <c r="F111" s="185">
        <f>'Centro Control'!E53</f>
        <v>1200</v>
      </c>
      <c r="G111" s="186">
        <f t="shared" si="3"/>
        <v>1200</v>
      </c>
      <c r="H111" s="187">
        <f>'Centro Control'!J53</f>
        <v>0</v>
      </c>
      <c r="I111" s="186">
        <f>'Centro Control'!K53</f>
        <v>0</v>
      </c>
    </row>
    <row r="112" spans="2:9" x14ac:dyDescent="0.25">
      <c r="B112" t="s">
        <v>340</v>
      </c>
      <c r="C112" s="184" t="str">
        <f>'Centro Control'!C54</f>
        <v>Monitor LED 32″ Diseñado para videovigilancia 24/7. 
Resolución 4K (3840×2160). Formato 16:9. Entradas: 2xHDMI, 2xDP. Salidas: 1xAudio| 2 Altavoces. Monitor LED 4K 32″. Específico para CCTV. Formato 16:9. Número de colores 16.7 M. Resolución 3840×2160. Brillo 250 cd/m2. Coeficiente de contraste de imagen 3000:1. Tiempo de respuesta 8 ms. Entradas de video 2xHDMI, 2xDP IN, 1xAudio OUT. 2xAltavoces 3W. Sin distorsión en la imagen</v>
      </c>
      <c r="D112" t="s">
        <v>33</v>
      </c>
      <c r="E112" s="148">
        <f>'Centro Control'!A54</f>
        <v>4</v>
      </c>
      <c r="F112" s="185">
        <f>'Centro Control'!E54</f>
        <v>500</v>
      </c>
      <c r="G112" s="186">
        <f t="shared" si="3"/>
        <v>2000</v>
      </c>
      <c r="H112" s="187">
        <f>'Centro Control'!J54</f>
        <v>0</v>
      </c>
      <c r="I112" s="186">
        <f>'Centro Control'!K54</f>
        <v>0</v>
      </c>
    </row>
    <row r="113" spans="2:9" x14ac:dyDescent="0.25">
      <c r="B113" t="s">
        <v>341</v>
      </c>
      <c r="C113" s="184" t="str">
        <f>'Centro Control'!C55</f>
        <v>Soporte para 4 Monitores 13" a 32" Hasta 32Kg Max VESA 100x100 Negro. Brazo para cuatro monitores de mesa 13 - 32 pulgadas. Cada brazo del soporte para monitor resiste un peso de hasta 8 kg. El soporte para 4 pantallas es compatible con VESA 75x75 - 100x100. Se puede instalar el brazo soporte monitor en el borde de la mesa o a través de un agujero en el tablero.</v>
      </c>
      <c r="D113" t="s">
        <v>33</v>
      </c>
      <c r="E113" s="148">
        <f>'Centro Control'!A55</f>
        <v>1</v>
      </c>
      <c r="F113" s="185">
        <f>'Centro Control'!E55</f>
        <v>250</v>
      </c>
      <c r="G113" s="186">
        <f t="shared" si="3"/>
        <v>250</v>
      </c>
      <c r="H113" s="187">
        <f>'Centro Control'!J55</f>
        <v>0</v>
      </c>
      <c r="I113" s="186">
        <f>'Centro Control'!K55</f>
        <v>0</v>
      </c>
    </row>
    <row r="114" spans="2:9" x14ac:dyDescent="0.25">
      <c r="B114" t="s">
        <v>342</v>
      </c>
      <c r="C114" s="184" t="str">
        <f>'Centro Control'!C56</f>
        <v>Latiguillo de 4 pares RJ45-RJ45 de Categoría 6a sin apantallar diseño UTP para transmisión de datos hasta 1Gigabit Ethernet, diámetro de 6 mm, cubierta libre de halógenos LSZH.Manguito especial transparente, estrecho y pestaña "anti-enganches"</v>
      </c>
      <c r="D114" t="s">
        <v>33</v>
      </c>
      <c r="E114" s="148">
        <f>'Centro Control'!A56</f>
        <v>4</v>
      </c>
      <c r="F114" s="185">
        <f>'Centro Control'!E56</f>
        <v>6.2</v>
      </c>
      <c r="G114" s="186">
        <f t="shared" si="3"/>
        <v>24.8</v>
      </c>
      <c r="H114" s="187">
        <f>'Centro Control'!J56</f>
        <v>0</v>
      </c>
      <c r="I114" s="186">
        <f>'Centro Control'!K56</f>
        <v>0</v>
      </c>
    </row>
    <row r="115" spans="2:9" x14ac:dyDescent="0.25">
      <c r="B115" t="s">
        <v>343</v>
      </c>
      <c r="C115" s="184" t="str">
        <f>'Centro Control'!C58</f>
        <v>Switch Layer 2+ 24 puertos Gigabit Ethernet cobre PoE+ y 4 SPF Gigabit (384W)</v>
      </c>
      <c r="D115" t="s">
        <v>33</v>
      </c>
      <c r="E115" s="148">
        <f>'Centro Control'!A58</f>
        <v>1</v>
      </c>
      <c r="F115" s="185">
        <f>'Centro Control'!E58</f>
        <v>485</v>
      </c>
      <c r="G115" s="186">
        <f t="shared" si="3"/>
        <v>485</v>
      </c>
      <c r="H115" s="187">
        <f>'Centro Control'!J58</f>
        <v>0</v>
      </c>
      <c r="I115" s="186">
        <f>'Centro Control'!K58</f>
        <v>0</v>
      </c>
    </row>
    <row r="116" spans="2:9" x14ac:dyDescent="0.25">
      <c r="B116" t="s">
        <v>344</v>
      </c>
      <c r="C116" s="184" t="str">
        <f>'Centro Control'!C59</f>
        <v>Conmutador administrado JetStream de 24 puertos SFP L2+ con 4 ranuras 10GE SFP+</v>
      </c>
      <c r="D116" t="s">
        <v>33</v>
      </c>
      <c r="E116" s="148">
        <f>'Centro Control'!A59</f>
        <v>1</v>
      </c>
      <c r="F116" s="185">
        <f>'Centro Control'!E59</f>
        <v>636</v>
      </c>
      <c r="G116" s="186">
        <f t="shared" si="3"/>
        <v>636</v>
      </c>
      <c r="H116" s="187">
        <f>'Centro Control'!J59</f>
        <v>0</v>
      </c>
      <c r="I116" s="186">
        <f>'Centro Control'!K59</f>
        <v>0</v>
      </c>
    </row>
    <row r="117" spans="2:9" x14ac:dyDescent="0.25">
      <c r="B117" t="s">
        <v>611</v>
      </c>
      <c r="C117" s="184" t="str">
        <f>'Centro Control'!C60</f>
        <v>Módulo transceptor de fibra óptica 10Gbps SFP+ 10km (-40~75 grados C) MTB-TLR 10000 Mbit/s Single Mode. Un solo conector SC.</v>
      </c>
      <c r="D117" t="s">
        <v>33</v>
      </c>
      <c r="E117" s="148">
        <f>'Centro Control'!A60</f>
        <v>8</v>
      </c>
      <c r="F117" s="185">
        <f>'Centro Control'!E60</f>
        <v>60</v>
      </c>
      <c r="G117" s="186">
        <f t="shared" si="3"/>
        <v>480</v>
      </c>
      <c r="H117" s="187">
        <f>'Centro Control'!J60</f>
        <v>0</v>
      </c>
      <c r="I117" s="186">
        <f>'Centro Control'!K60</f>
        <v>0</v>
      </c>
    </row>
    <row r="118" spans="2:9" x14ac:dyDescent="0.25">
      <c r="B118" t="s">
        <v>588</v>
      </c>
      <c r="C118" s="184" t="str">
        <f>'Centro Control'!C61</f>
        <v>Patch panel rack 24 RJ45 Cat.6A FTP 1U. 
Negro con peine para gestión de cables. Patch Panel de 1U formato rack de 19" para la gestión de conexiones de red en cualquier armario rack.Panel que ofrece 24 puertos RJ45 STP/FTP 568B de categoría 6A, ideal para aplicaciones de alta velocidad. Tamaño: 1U. Compatible con racks de 19". 24 conectores RJ45 STP/FTP. Categoría 6A (CAT.6A). Configuración 568B. Peine en la parte trasera para ordenar los cables y toma de tierra para conexión al armario rack.</v>
      </c>
      <c r="D118" t="s">
        <v>33</v>
      </c>
      <c r="E118" s="148">
        <f>'Centro Control'!A61</f>
        <v>1</v>
      </c>
      <c r="F118" s="185">
        <f>'Centro Control'!E61</f>
        <v>65</v>
      </c>
      <c r="G118" s="186">
        <f t="shared" si="3"/>
        <v>65</v>
      </c>
      <c r="H118" s="187">
        <f>'Centro Control'!J61</f>
        <v>0</v>
      </c>
      <c r="I118" s="186">
        <f>'Centro Control'!K61</f>
        <v>0</v>
      </c>
    </row>
    <row r="119" spans="2:9" x14ac:dyDescent="0.25">
      <c r="B119" t="s">
        <v>589</v>
      </c>
      <c r="C119" s="184" t="str">
        <f>'Centro Control'!C62</f>
        <v xml:space="preserve">Bandeja 19" Extraible de Fibra Óptica para 48 conectores. 
Bandeja para alojamiento de fusiones de fibra óptica con capacidad para alojar hasta 48 fusiones de fibra óptica en su interior. Capacidad de alojamiento hasta 48 conectores. Incluye en la parte frontal 48 conectores enfrentadores tipo SC/APC. Profundidad: 240mm. Ancho: 444mm, 19". Altura: 44mm 1U. Peso: 3kg
</v>
      </c>
      <c r="D119" t="s">
        <v>33</v>
      </c>
      <c r="E119" s="148">
        <f>'Centro Control'!A62</f>
        <v>1</v>
      </c>
      <c r="F119" s="185">
        <f>'Centro Control'!E62</f>
        <v>60</v>
      </c>
      <c r="G119" s="186">
        <f t="shared" si="3"/>
        <v>60</v>
      </c>
      <c r="H119" s="187">
        <f>'Centro Control'!J62</f>
        <v>0</v>
      </c>
      <c r="I119" s="186">
        <f>'Centro Control'!K62</f>
        <v>0</v>
      </c>
    </row>
    <row r="120" spans="2:9" x14ac:dyDescent="0.25">
      <c r="B120" t="s">
        <v>345</v>
      </c>
      <c r="C120" s="184" t="str">
        <f>'Centro Control'!C66</f>
        <v>Licencia de conexión de panel de intrusión</v>
      </c>
      <c r="D120" t="s">
        <v>33</v>
      </c>
      <c r="E120" s="148">
        <f>'Centro Control'!A66</f>
        <v>1</v>
      </c>
      <c r="F120" s="185">
        <f>'Centro Control'!E66</f>
        <v>270</v>
      </c>
      <c r="G120" s="186">
        <f t="shared" si="3"/>
        <v>270</v>
      </c>
      <c r="H120" s="187">
        <f>'Centro Control'!J66</f>
        <v>0</v>
      </c>
      <c r="I120" s="186">
        <f>'Centro Control'!K66</f>
        <v>0</v>
      </c>
    </row>
    <row r="121" spans="2:9" x14ac:dyDescent="0.25">
      <c r="B121" t="s">
        <v>634</v>
      </c>
      <c r="C121" s="184" t="str">
        <f>'Centro Control'!C67</f>
        <v xml:space="preserve">Licencia por Lidar conectado. Conexión de sensor de seguimiento de corto alcance para Vigilancia del Área de Seguridad. Disponible con  Paquetes empresariales. Base de Vigilancia del Área de Seguridad Restringida. </v>
      </c>
      <c r="D121" t="s">
        <v>33</v>
      </c>
      <c r="E121" s="148">
        <f>'Centro Control'!A67</f>
        <v>4</v>
      </c>
      <c r="F121" s="185">
        <f>'Centro Control'!E67</f>
        <v>135</v>
      </c>
      <c r="G121" s="186">
        <f t="shared" si="3"/>
        <v>540</v>
      </c>
      <c r="H121" s="187">
        <f>'Centro Control'!J67</f>
        <v>0</v>
      </c>
      <c r="I121" s="186">
        <f>'Centro Control'!K67</f>
        <v>0</v>
      </c>
    </row>
    <row r="122" spans="2:9" x14ac:dyDescent="0.25">
      <c r="B122" t="s">
        <v>511</v>
      </c>
      <c r="C122" s="184" t="str">
        <f>'Centro Control'!C68</f>
        <v>Integración de Axis Perimeter Defender/AOA</v>
      </c>
      <c r="D122" t="s">
        <v>33</v>
      </c>
      <c r="E122" s="148">
        <f>'Centro Control'!A68</f>
        <v>2</v>
      </c>
      <c r="F122" s="185">
        <f>'Centro Control'!E68</f>
        <v>193</v>
      </c>
      <c r="G122" s="186">
        <f t="shared" si="3"/>
        <v>386</v>
      </c>
      <c r="H122" s="187">
        <f>'Centro Control'!J68</f>
        <v>0</v>
      </c>
      <c r="I122" s="186">
        <f>'Centro Control'!K68</f>
        <v>0</v>
      </c>
    </row>
    <row r="123" spans="2:9" x14ac:dyDescent="0.25">
      <c r="B123" t="s">
        <v>612</v>
      </c>
      <c r="C123" s="184" t="str">
        <f>'Centro Control'!C69</f>
        <v>Licencia AXIS PERIMETER DEFENDER</v>
      </c>
      <c r="D123" t="s">
        <v>33</v>
      </c>
      <c r="E123" s="148">
        <f>'Centro Control'!A69</f>
        <v>27</v>
      </c>
      <c r="F123" s="185">
        <f>'Centro Control'!E69</f>
        <v>308</v>
      </c>
      <c r="G123" s="186">
        <f t="shared" si="3"/>
        <v>8316</v>
      </c>
      <c r="H123" s="187">
        <f>'Centro Control'!J69</f>
        <v>0</v>
      </c>
      <c r="I123" s="186">
        <f>'Centro Control'!K69</f>
        <v>0</v>
      </c>
    </row>
    <row r="124" spans="2:9" x14ac:dyDescent="0.25">
      <c r="B124" t="s">
        <v>613</v>
      </c>
      <c r="C124" s="184" t="str">
        <f>'Centro Control'!C70</f>
        <v>Alta y configuracion abonado en CRA propia de Metro de Madrid.</v>
      </c>
      <c r="D124" t="s">
        <v>33</v>
      </c>
      <c r="E124" s="148">
        <f>'Centro Control'!A70</f>
        <v>1</v>
      </c>
      <c r="F124" s="185">
        <f>'Centro Control'!E70</f>
        <v>630</v>
      </c>
      <c r="G124" s="186">
        <f t="shared" si="3"/>
        <v>630</v>
      </c>
      <c r="H124" s="187">
        <f>'Centro Control'!J70</f>
        <v>0</v>
      </c>
      <c r="I124" s="186">
        <f>'Centro Control'!K70</f>
        <v>0</v>
      </c>
    </row>
    <row r="125" spans="2:9" x14ac:dyDescent="0.25">
      <c r="B125" t="s">
        <v>614</v>
      </c>
      <c r="C125" s="184" t="str">
        <f>'Centro Control'!C72</f>
        <v>Central de Intrusion grado III.Panel certificado EN50131-3:2009 y EN50131-6:2008. Grado Seguridad 3, Clase Ambiental II. Hasta 16 áreas independientes protegidas. Hasta 264 zonas de intrusión (16 zonas en placa).Hasta 32 puertas. Hasta 1000 usuarios de tarjetas por sistema.Hasta 67 programaciones semanales.Admite hasta 16 teclados.Admite teclados táctiles gráficos (2).Registros de eventos de accesos e intrusión (hasta 1000 y 1500 eventos, respectivamente).Admite varias opciones de comunicación (RTB, RDSI, Ethernet). Hasta 32 canales de verificación por audio (función habla-escucha). Solución centralizada de gestión única basada en PC. Protocolo de interconexión mejorado para la integración del sistema. Incluido módulo TCP/IP y batería de emergencia. Incluido teclado</v>
      </c>
      <c r="D125" t="s">
        <v>33</v>
      </c>
      <c r="E125" s="148">
        <f>'Centro Control'!A72</f>
        <v>1</v>
      </c>
      <c r="F125" s="185">
        <f>'Centro Control'!E72</f>
        <v>822</v>
      </c>
      <c r="G125" s="186">
        <f t="shared" si="3"/>
        <v>822</v>
      </c>
      <c r="H125" s="187">
        <f>'Centro Control'!J72</f>
        <v>0</v>
      </c>
      <c r="I125" s="186">
        <f>'Centro Control'!K72</f>
        <v>0</v>
      </c>
    </row>
    <row r="126" spans="2:9" x14ac:dyDescent="0.25">
      <c r="B126" t="s">
        <v>566</v>
      </c>
      <c r="C126" s="184" t="str">
        <f>'Centro Control'!C73</f>
        <v>Interfaz IP con 8 contactos configurables de entrada o salida en conexión remota LAN. Entradas entradas supervisadas y niveles configurables. 8 E/S, configurables como entrada, entrada supervisada con lectura o salida analógicas (entrada digital: de 0 a 40 V CC máx.posibilidad de supervisar entre 0 y 12 V [4 estados]; salida digital: de 0 a 40 V CC máx.colector abierto, máx. 100 mA). PoE Clase 3: 3,6W.PoE Clase 4/Entrada de CC: 12 W. Incluye licencia de activación en sistema Mission Control de GENETEC.</v>
      </c>
      <c r="D126" t="s">
        <v>33</v>
      </c>
      <c r="E126" s="148">
        <f>'Centro Control'!A73</f>
        <v>7</v>
      </c>
      <c r="F126" s="185">
        <f>'Centro Control'!E73</f>
        <v>660</v>
      </c>
      <c r="G126" s="186">
        <f t="shared" si="3"/>
        <v>4620</v>
      </c>
      <c r="H126" s="187">
        <f>'Centro Control'!J73</f>
        <v>0</v>
      </c>
      <c r="I126" s="186">
        <f>'Centro Control'!K73</f>
        <v>0</v>
      </c>
    </row>
    <row r="127" spans="2:9" x14ac:dyDescent="0.25">
      <c r="B127" t="s">
        <v>635</v>
      </c>
      <c r="C127" s="184" t="str">
        <f>'Centro Control'!C74</f>
        <v>Módulo expansor de zonas, para ampliación de la capacidad de entradas de la central de intrusión ofertada. 8 Entradas / 4 Salidas de la serie Galaxy Flex. Incluida fuente de alimentación y batería</v>
      </c>
      <c r="D127" t="s">
        <v>33</v>
      </c>
      <c r="E127" s="148">
        <f>'Centro Control'!A74</f>
        <v>1</v>
      </c>
      <c r="F127" s="185">
        <f>'Centro Control'!E74</f>
        <v>380</v>
      </c>
      <c r="G127" s="186">
        <f t="shared" si="3"/>
        <v>380</v>
      </c>
      <c r="H127" s="187">
        <f>'Centro Control'!J74</f>
        <v>0</v>
      </c>
      <c r="I127" s="186">
        <f>'Centro Control'!K74</f>
        <v>0</v>
      </c>
    </row>
    <row r="128" spans="2:9" x14ac:dyDescent="0.25">
      <c r="B128" t="s">
        <v>636</v>
      </c>
      <c r="C128" s="184" t="str">
        <f>'Centro Control'!C75</f>
        <v>Módulo expansor de zonas, para ampliación de la capacidad de entradas de la central de intrusión ofertada. 8 Entradas / 4 Salidas de la serie Galaxy Flex.</v>
      </c>
      <c r="D128" t="s">
        <v>33</v>
      </c>
      <c r="E128" s="148">
        <f>'Centro Control'!A75</f>
        <v>13</v>
      </c>
      <c r="F128" s="185">
        <f>'Centro Control'!E75</f>
        <v>226</v>
      </c>
      <c r="G128" s="186">
        <f t="shared" si="3"/>
        <v>2938</v>
      </c>
      <c r="H128" s="187">
        <f>'Centro Control'!J75</f>
        <v>0</v>
      </c>
      <c r="I128" s="186">
        <f>'Centro Control'!K75</f>
        <v>0</v>
      </c>
    </row>
    <row r="129" spans="1:9" x14ac:dyDescent="0.25">
      <c r="B129" t="s">
        <v>637</v>
      </c>
      <c r="C129" s="184" t="str">
        <f>'Centro Control'!C76</f>
        <v>Cajón de Rack (19"), 3U. Instalación en rack de 48,3cm 3U, Acero Recubierto con pintura en polvo en negro, Dimensiones interiores: Ancho: 401mm, Profundidad: 377 mm, Altura: 115mm
Peso: 7,30 kg. Cápacidad de carga máxima: 25 kg</v>
      </c>
      <c r="D129" t="s">
        <v>33</v>
      </c>
      <c r="E129" s="148">
        <f>'Centro Control'!A76</f>
        <v>1</v>
      </c>
      <c r="F129" s="185">
        <f>'Centro Control'!E76</f>
        <v>76</v>
      </c>
      <c r="G129" s="186">
        <f t="shared" si="3"/>
        <v>76</v>
      </c>
      <c r="H129" s="187">
        <f>'Centro Control'!J76</f>
        <v>0</v>
      </c>
      <c r="I129" s="186">
        <f>'Centro Control'!K76</f>
        <v>0</v>
      </c>
    </row>
    <row r="130" spans="1:9" x14ac:dyDescent="0.25">
      <c r="B130" t="s">
        <v>567</v>
      </c>
      <c r="C130" s="184" t="str">
        <f>'Centro Control'!C77</f>
        <v xml:space="preserve">Cajón de Rack (19"), 2U. Instalación en rack de 48,3cm 2U
Recubierto con pintura en polvo en negro, Dimensiones interiores: Ancho: 401mm, Profundidad: 377 mm, Altura: 90mm Peso: 7,30 kg. Cápacidad de carga máxima: 25 kg
</v>
      </c>
      <c r="D130" t="s">
        <v>33</v>
      </c>
      <c r="E130" s="148">
        <f>'Centro Control'!A77</f>
        <v>6</v>
      </c>
      <c r="F130" s="185">
        <f>'Centro Control'!E77</f>
        <v>69</v>
      </c>
      <c r="G130" s="186">
        <f t="shared" si="3"/>
        <v>414</v>
      </c>
      <c r="H130" s="187">
        <f>'Centro Control'!J77</f>
        <v>0</v>
      </c>
      <c r="I130" s="186">
        <f>'Centro Control'!K77</f>
        <v>0</v>
      </c>
    </row>
    <row r="131" spans="1:9" x14ac:dyDescent="0.25">
      <c r="B131" t="s">
        <v>615</v>
      </c>
      <c r="C131" s="184" t="str">
        <f>'Centro Control'!C78</f>
        <v>Conexión abonado a CRA de MdM</v>
      </c>
      <c r="D131" t="s">
        <v>33</v>
      </c>
      <c r="E131" s="148">
        <f>'Centro Control'!A78</f>
        <v>1</v>
      </c>
      <c r="F131" s="185">
        <f>'Centro Control'!E78</f>
        <v>350</v>
      </c>
      <c r="G131" s="186">
        <f t="shared" si="3"/>
        <v>350</v>
      </c>
      <c r="H131" s="187">
        <f>'Centro Control'!J78</f>
        <v>0</v>
      </c>
      <c r="I131" s="186">
        <f>'Centro Control'!K78</f>
        <v>0</v>
      </c>
    </row>
    <row r="132" spans="1:9" x14ac:dyDescent="0.25">
      <c r="B132" t="s">
        <v>583</v>
      </c>
      <c r="C132" s="184" t="str">
        <f>'Centro Control'!C80</f>
        <v>Soporte 3 años por lector conectado</v>
      </c>
      <c r="D132" t="s">
        <v>33</v>
      </c>
      <c r="E132" s="148">
        <f>'Centro Control'!A80</f>
        <v>5</v>
      </c>
      <c r="F132" s="185">
        <f>'Centro Control'!E80</f>
        <v>47</v>
      </c>
      <c r="G132" s="186">
        <f t="shared" si="3"/>
        <v>235</v>
      </c>
      <c r="H132" s="187">
        <f>'Centro Control'!J80</f>
        <v>0</v>
      </c>
      <c r="I132" s="186">
        <f>'Centro Control'!K80</f>
        <v>0</v>
      </c>
    </row>
    <row r="133" spans="1:9" x14ac:dyDescent="0.25">
      <c r="B133" t="s">
        <v>590</v>
      </c>
      <c r="C133" s="184" t="str">
        <f>'Centro Control'!C81</f>
        <v>Soporte 3 años por cámara conectada</v>
      </c>
      <c r="D133" t="s">
        <v>33</v>
      </c>
      <c r="E133" s="148">
        <f>'Centro Control'!A81</f>
        <v>164</v>
      </c>
      <c r="F133" s="185">
        <f>'Centro Control'!E81</f>
        <v>104</v>
      </c>
      <c r="G133" s="186">
        <f t="shared" si="3"/>
        <v>17056</v>
      </c>
      <c r="H133" s="187">
        <f>'Centro Control'!J81</f>
        <v>0</v>
      </c>
      <c r="I133" s="186">
        <f>'Centro Control'!K81</f>
        <v>0</v>
      </c>
    </row>
    <row r="134" spans="1:9" x14ac:dyDescent="0.25">
      <c r="B134" t="s">
        <v>584</v>
      </c>
      <c r="C134" s="184" t="str">
        <f>'Centro Control'!C82</f>
        <v>Soporte 3 años por interfono conectado</v>
      </c>
      <c r="D134" t="s">
        <v>33</v>
      </c>
      <c r="E134" s="148">
        <f>'Centro Control'!A82</f>
        <v>5</v>
      </c>
      <c r="F134" s="185">
        <f>'Centro Control'!E82</f>
        <v>74</v>
      </c>
      <c r="G134" s="186">
        <f t="shared" ref="G134:G136" si="4">ROUND(F134*E134,2)</f>
        <v>370</v>
      </c>
      <c r="H134" s="187">
        <f>'Centro Control'!J82</f>
        <v>0</v>
      </c>
      <c r="I134" s="186">
        <f>'Centro Control'!K82</f>
        <v>0</v>
      </c>
    </row>
    <row r="135" spans="1:9" x14ac:dyDescent="0.25">
      <c r="B135" t="s">
        <v>638</v>
      </c>
      <c r="C135" s="184" t="str">
        <f>'Centro Control'!C83</f>
        <v>Soporte 3 años por cámara LRP conectada</v>
      </c>
      <c r="D135" t="s">
        <v>33</v>
      </c>
      <c r="E135" s="148">
        <f>'Centro Control'!A83</f>
        <v>2</v>
      </c>
      <c r="F135" s="185">
        <f>'Centro Control'!E83</f>
        <v>148</v>
      </c>
      <c r="G135" s="186">
        <f t="shared" si="4"/>
        <v>296</v>
      </c>
      <c r="H135" s="187">
        <f>'Centro Control'!J83</f>
        <v>0</v>
      </c>
      <c r="I135" s="186">
        <f>'Centro Control'!K83</f>
        <v>0</v>
      </c>
    </row>
    <row r="136" spans="1:9" x14ac:dyDescent="0.25">
      <c r="B136" t="s">
        <v>585</v>
      </c>
      <c r="C136" s="184" t="str">
        <f>'Centro Control'!C84</f>
        <v>Soporte 3 años por panel de intrusión conectado</v>
      </c>
      <c r="D136" t="s">
        <v>33</v>
      </c>
      <c r="E136" s="148">
        <f>'Centro Control'!A84</f>
        <v>1</v>
      </c>
      <c r="F136" s="185">
        <f>'Centro Control'!E84</f>
        <v>124</v>
      </c>
      <c r="G136" s="186">
        <f t="shared" si="4"/>
        <v>124</v>
      </c>
      <c r="H136" s="187">
        <f>'Centro Control'!J84</f>
        <v>0</v>
      </c>
      <c r="I136" s="186">
        <f>'Centro Control'!K84</f>
        <v>0</v>
      </c>
    </row>
    <row r="137" spans="1:9" s="178" customFormat="1" x14ac:dyDescent="0.25">
      <c r="A137" s="178" t="s">
        <v>350</v>
      </c>
      <c r="B137" s="178" t="s">
        <v>44</v>
      </c>
      <c r="C137" s="179" t="s">
        <v>200</v>
      </c>
      <c r="E137" s="180"/>
      <c r="F137" s="181"/>
      <c r="G137" s="186"/>
      <c r="H137" s="183"/>
      <c r="I137" s="182"/>
    </row>
    <row r="138" spans="1:9" x14ac:dyDescent="0.25">
      <c r="B138" t="s">
        <v>346</v>
      </c>
      <c r="C138" s="184" t="str">
        <f>'Centro Control'!C89</f>
        <v xml:space="preserve">Partida alzada para configuración, pruebas y puesta en marcha. Partida de integración de todas las funcionalidades incluidas en el proyecto: control de acceso, detección de intrusión, cámaras de CCTV, videoporteros y demas componentes del proyecto en el sistema de gestión centralizada. Asimismo se incluyen todos los elementos gráficos necesarios (planos, iconos) para facilitar la operatividad del sistema. </v>
      </c>
      <c r="D138" t="s">
        <v>33</v>
      </c>
      <c r="E138" s="148">
        <f>'Centro Control'!A89</f>
        <v>1</v>
      </c>
      <c r="F138" s="185">
        <f>'Centro Control'!E89</f>
        <v>15000</v>
      </c>
      <c r="G138" s="186">
        <f t="shared" ref="G138:G143" si="5">ROUND(F138*E138,2)</f>
        <v>15000</v>
      </c>
      <c r="H138" s="187">
        <f>'Centro Control'!J89</f>
        <v>0</v>
      </c>
      <c r="I138" s="186">
        <f>'Centro Control'!K89</f>
        <v>0</v>
      </c>
    </row>
    <row r="139" spans="1:9" x14ac:dyDescent="0.25">
      <c r="B139" t="s">
        <v>347</v>
      </c>
      <c r="C139" s="184" t="str">
        <f>'Centro Control'!C90</f>
        <v>Partida alzada para documentación proyecto global as-built</v>
      </c>
      <c r="D139" t="s">
        <v>33</v>
      </c>
      <c r="E139" s="148">
        <f>'Centro Control'!A90</f>
        <v>1</v>
      </c>
      <c r="F139" s="185">
        <f>'Centro Control'!E90</f>
        <v>3600</v>
      </c>
      <c r="G139" s="186">
        <f t="shared" ref="G139:G140" si="6">ROUND(F139*E139,2)</f>
        <v>3600</v>
      </c>
      <c r="H139" s="187">
        <f>'Centro Control'!J90</f>
        <v>0</v>
      </c>
      <c r="I139" s="186">
        <f>'Centro Control'!K90</f>
        <v>0</v>
      </c>
    </row>
    <row r="140" spans="1:9" x14ac:dyDescent="0.25">
      <c r="B140" t="s">
        <v>348</v>
      </c>
      <c r="C140" s="184" t="str">
        <f>'Centro Control'!C91</f>
        <v>Partida para cursos de formación proyecto global al cliente</v>
      </c>
      <c r="D140" t="s">
        <v>33</v>
      </c>
      <c r="E140" s="148">
        <f>'Centro Control'!A91</f>
        <v>1</v>
      </c>
      <c r="F140" s="185">
        <f>'Centro Control'!E91</f>
        <v>1920</v>
      </c>
      <c r="G140" s="186">
        <f t="shared" si="6"/>
        <v>1920</v>
      </c>
      <c r="H140" s="187">
        <f>'Centro Control'!J91</f>
        <v>0</v>
      </c>
      <c r="I140" s="186">
        <f>'Centro Control'!K91</f>
        <v>0</v>
      </c>
    </row>
    <row r="141" spans="1:9" s="176" customFormat="1" x14ac:dyDescent="0.25">
      <c r="A141" s="176" t="s">
        <v>45</v>
      </c>
      <c r="B141" s="176" t="s">
        <v>34</v>
      </c>
      <c r="C141" s="188" t="s">
        <v>46</v>
      </c>
      <c r="E141" s="173"/>
      <c r="F141" s="174"/>
      <c r="G141" s="186"/>
      <c r="H141" s="189"/>
      <c r="I141" s="175"/>
    </row>
    <row r="142" spans="1:9" s="178" customFormat="1" x14ac:dyDescent="0.25">
      <c r="A142" s="178" t="s">
        <v>351</v>
      </c>
      <c r="B142" s="178" t="s">
        <v>47</v>
      </c>
      <c r="C142" s="179" t="s">
        <v>207</v>
      </c>
      <c r="E142" s="180"/>
      <c r="F142" s="181"/>
      <c r="G142" s="186"/>
      <c r="H142" s="183"/>
      <c r="I142" s="182"/>
    </row>
    <row r="143" spans="1:9" x14ac:dyDescent="0.25">
      <c r="B143" s="203" t="s">
        <v>352</v>
      </c>
      <c r="C143" s="184" t="str">
        <f>'Acceso Vehicular'!C21</f>
        <v>Suministro e instalación de Barrera elevadora automática de peaje BL229 Toll 4,5m de alta velocidad o similar, pluma reforzada de carbono Protecta con reenganche automático 4,5m, paso libre de hasta 5 metros, tiempo de apertura 0,6 a 1,7 segundos. Protección apertura de cubierta y de puerta - Corte del convertidor de frecuencia. Conexión a botonera de control a dos pulsadores abrir, cerrar y seta de enclavamiento de apertura. Interruptor de llave sobre armazón (Automático / Bloqueado abierto /
Bloqueado cerrado). Bucles de detección para vehículos. Detector de presencia en carril doble Canal. Célula fotoeléctrica (Transmisor / receptor). Poste y montaje de célula fotoeléctrica (H = 0,7 m). Sensor ultrasónico con funda protectora.Pantalla de interfaz HMI con teclas para programar la lógica de control.Interfaz Ethernet.Tarjeta de extensión de las Entradas/Salidas (I/O).Contador totalizador (número de maniobras sin Botón de Reinicio). Semáforo de señalización (Ø 200 mm) de LEDs - Rojo/Verde - Montado en un poste unido a la barrera. Poste para luces de señalización (H: 2,70 m). Tarjeta de gestión de las luces de señalización de terceros.Ventilador para variador de frecuencia. Incluido montaje y desmontaje de la barrera antigua.</v>
      </c>
      <c r="D143" t="s">
        <v>33</v>
      </c>
      <c r="E143" s="148">
        <f>'Acceso Vehicular'!A21</f>
        <v>1</v>
      </c>
      <c r="F143" s="185">
        <f>'Acceso Vehicular'!E21</f>
        <v>3225</v>
      </c>
      <c r="G143" s="186">
        <f t="shared" si="5"/>
        <v>3225</v>
      </c>
      <c r="H143" s="187">
        <f>'Acceso Vehicular'!J21</f>
        <v>0</v>
      </c>
      <c r="I143" s="186">
        <f>'Acceso Vehicular'!K21</f>
        <v>0</v>
      </c>
    </row>
    <row r="144" spans="1:9" x14ac:dyDescent="0.25">
      <c r="B144" s="203" t="s">
        <v>353</v>
      </c>
      <c r="C144" s="184" t="str">
        <f>'Acceso Vehicular'!C22</f>
        <v>Suministro e instalación de dispositivo automático de reenganche del brazo+brazo Protecta de carbono - Lg. 4,5m</v>
      </c>
      <c r="D144" t="s">
        <v>33</v>
      </c>
      <c r="E144" s="148">
        <f>'Acceso Vehicular'!A22</f>
        <v>1</v>
      </c>
      <c r="F144" s="185">
        <f>'Acceso Vehicular'!E22</f>
        <v>615</v>
      </c>
      <c r="G144" s="186">
        <f t="shared" ref="G144:G203" si="7">ROUND(F144*E144,2)</f>
        <v>615</v>
      </c>
      <c r="H144" s="187">
        <f>'Acceso Vehicular'!J22</f>
        <v>0</v>
      </c>
      <c r="I144" s="186">
        <f>'Acceso Vehicular'!K22</f>
        <v>0</v>
      </c>
    </row>
    <row r="145" spans="2:9" x14ac:dyDescent="0.25">
      <c r="B145" s="203" t="s">
        <v>354</v>
      </c>
      <c r="C145" s="184" t="str">
        <f>'Acceso Vehicular'!C23</f>
        <v>Suministro e instalación de consola para 2 accesos</v>
      </c>
      <c r="D145" t="s">
        <v>33</v>
      </c>
      <c r="E145" s="148">
        <f>'Acceso Vehicular'!A23</f>
        <v>1</v>
      </c>
      <c r="F145" s="185">
        <f>'Acceso Vehicular'!E23</f>
        <v>406</v>
      </c>
      <c r="G145" s="186">
        <f t="shared" si="7"/>
        <v>406</v>
      </c>
      <c r="H145" s="187">
        <f>'Acceso Vehicular'!J23</f>
        <v>0</v>
      </c>
      <c r="I145" s="186">
        <f>'Acceso Vehicular'!K23</f>
        <v>0</v>
      </c>
    </row>
    <row r="146" spans="2:9" x14ac:dyDescent="0.25">
      <c r="B146" s="203" t="s">
        <v>355</v>
      </c>
      <c r="C146" s="184" t="str">
        <f>'Acceso Vehicular'!C24</f>
        <v>Suministro e instalación de bucle inductivo para la detección - Coche (2x1m / conexión 2m)</v>
      </c>
      <c r="D146" t="s">
        <v>33</v>
      </c>
      <c r="E146" s="148">
        <f>'Acceso Vehicular'!A24</f>
        <v>2</v>
      </c>
      <c r="F146" s="185">
        <f>'Acceso Vehicular'!E24</f>
        <v>85</v>
      </c>
      <c r="G146" s="186">
        <f t="shared" si="7"/>
        <v>170</v>
      </c>
      <c r="H146" s="187">
        <f>'Acceso Vehicular'!J24</f>
        <v>0</v>
      </c>
      <c r="I146" s="186">
        <f>'Acceso Vehicular'!K24</f>
        <v>0</v>
      </c>
    </row>
    <row r="147" spans="2:9" x14ac:dyDescent="0.25">
      <c r="B147" s="203" t="s">
        <v>356</v>
      </c>
      <c r="C147" s="184" t="str">
        <f>'Acceso Vehicular'!C25</f>
        <v>Suministro e instalación de sensor de presencia en carril - Doble canal</v>
      </c>
      <c r="D147" t="s">
        <v>33</v>
      </c>
      <c r="E147" s="148">
        <f>'Acceso Vehicular'!A25</f>
        <v>1</v>
      </c>
      <c r="F147" s="185">
        <f>'Acceso Vehicular'!E25</f>
        <v>235</v>
      </c>
      <c r="G147" s="186">
        <f t="shared" si="7"/>
        <v>235</v>
      </c>
      <c r="H147" s="187">
        <f>'Acceso Vehicular'!J25</f>
        <v>0</v>
      </c>
      <c r="I147" s="186">
        <f>'Acceso Vehicular'!K25</f>
        <v>0</v>
      </c>
    </row>
    <row r="148" spans="2:9" x14ac:dyDescent="0.25">
      <c r="B148" s="203" t="s">
        <v>357</v>
      </c>
      <c r="C148" s="184" t="str">
        <f>'Acceso Vehicular'!C26</f>
        <v>Radar de detección de vehículos y personas</v>
      </c>
      <c r="D148" t="s">
        <v>33</v>
      </c>
      <c r="E148" s="148">
        <f>'Acceso Vehicular'!A26</f>
        <v>1</v>
      </c>
      <c r="F148" s="185">
        <f>'Acceso Vehicular'!E26</f>
        <v>490</v>
      </c>
      <c r="G148" s="186">
        <f t="shared" si="7"/>
        <v>490</v>
      </c>
      <c r="H148" s="187">
        <f>'Acceso Vehicular'!J26</f>
        <v>0</v>
      </c>
      <c r="I148" s="186">
        <f>'Acceso Vehicular'!K26</f>
        <v>0</v>
      </c>
    </row>
    <row r="149" spans="2:9" x14ac:dyDescent="0.25">
      <c r="B149" s="203" t="s">
        <v>358</v>
      </c>
      <c r="C149" s="184" t="str">
        <f>'Acceso Vehicular'!C27</f>
        <v>Suministro e instalación de Interfaz Ethernet (AS1622)</v>
      </c>
      <c r="D149" t="s">
        <v>33</v>
      </c>
      <c r="E149" s="148">
        <f>'Acceso Vehicular'!A27</f>
        <v>1</v>
      </c>
      <c r="F149" s="185">
        <f>'Acceso Vehicular'!E27</f>
        <v>120</v>
      </c>
      <c r="G149" s="186">
        <f t="shared" si="7"/>
        <v>120</v>
      </c>
      <c r="H149" s="187">
        <f>'Acceso Vehicular'!J27</f>
        <v>0</v>
      </c>
      <c r="I149" s="186">
        <f>'Acceso Vehicular'!K27</f>
        <v>0</v>
      </c>
    </row>
    <row r="150" spans="2:9" x14ac:dyDescent="0.25">
      <c r="B150" s="203" t="s">
        <v>359</v>
      </c>
      <c r="C150" s="184" t="str">
        <f>'Acceso Vehicular'!C28</f>
        <v>Suministro e instalación de pantalla a color de interfaz hombre-máquina con teclado de placa lógica AS1620 (AS1621)</v>
      </c>
      <c r="D150" t="s">
        <v>33</v>
      </c>
      <c r="E150" s="148">
        <f>'Acceso Vehicular'!A28</f>
        <v>1</v>
      </c>
      <c r="F150" s="185">
        <f>'Acceso Vehicular'!E28</f>
        <v>120</v>
      </c>
      <c r="G150" s="186">
        <f t="shared" si="7"/>
        <v>120</v>
      </c>
      <c r="H150" s="187">
        <f>'Acceso Vehicular'!J28</f>
        <v>0</v>
      </c>
      <c r="I150" s="186">
        <f>'Acceso Vehicular'!K28</f>
        <v>0</v>
      </c>
    </row>
    <row r="151" spans="2:9" x14ac:dyDescent="0.25">
      <c r="B151" s="203" t="s">
        <v>360</v>
      </c>
      <c r="C151" s="184" t="str">
        <f>'Acceso Vehicular'!C29</f>
        <v>Suministro e instalación de contador totalizador (número de operaciones del vehículo)</v>
      </c>
      <c r="D151" t="s">
        <v>33</v>
      </c>
      <c r="E151" s="148">
        <f>'Acceso Vehicular'!A29</f>
        <v>1</v>
      </c>
      <c r="F151" s="185">
        <f>'Acceso Vehicular'!E29</f>
        <v>170</v>
      </c>
      <c r="G151" s="186">
        <f t="shared" si="7"/>
        <v>170</v>
      </c>
      <c r="H151" s="187">
        <f>'Acceso Vehicular'!J29</f>
        <v>0</v>
      </c>
      <c r="I151" s="186">
        <f>'Acceso Vehicular'!K29</f>
        <v>0</v>
      </c>
    </row>
    <row r="152" spans="2:9" x14ac:dyDescent="0.25">
      <c r="B152" s="203" t="s">
        <v>361</v>
      </c>
      <c r="C152" s="184" t="str">
        <f>'Acceso Vehicular'!C30</f>
        <v>Suministro e instalación de semáforos (Ø200mm) - LEDs rojos/verdes - Fijados en un poste de apoyo en la barrera</v>
      </c>
      <c r="D152" t="s">
        <v>33</v>
      </c>
      <c r="E152" s="148">
        <f>'Acceso Vehicular'!A30</f>
        <v>1</v>
      </c>
      <c r="F152" s="185">
        <f>'Acceso Vehicular'!E30</f>
        <v>1215</v>
      </c>
      <c r="G152" s="186">
        <f t="shared" si="7"/>
        <v>1215</v>
      </c>
      <c r="H152" s="187">
        <f>'Acceso Vehicular'!J30</f>
        <v>0</v>
      </c>
      <c r="I152" s="186">
        <f>'Acceso Vehicular'!K30</f>
        <v>0</v>
      </c>
    </row>
    <row r="153" spans="2:9" x14ac:dyDescent="0.25">
      <c r="B153" s="203" t="s">
        <v>362</v>
      </c>
      <c r="C153" s="184" t="str">
        <f>'Acceso Vehicular'!C31</f>
        <v>Báculo altura mixta (doble altura) para turismos y camiones construido en acero inox. AISI-316,incluye  mecanizado para alojar 2 lectores estándar y 2 videoporteros.</v>
      </c>
      <c r="D153" t="s">
        <v>33</v>
      </c>
      <c r="E153" s="148">
        <f>'Acceso Vehicular'!A31</f>
        <v>1</v>
      </c>
      <c r="F153" s="185">
        <f>'Acceso Vehicular'!E31</f>
        <v>1668.5</v>
      </c>
      <c r="G153" s="186">
        <f t="shared" si="7"/>
        <v>1668.5</v>
      </c>
      <c r="H153" s="187">
        <f>'Acceso Vehicular'!J31</f>
        <v>0</v>
      </c>
      <c r="I153" s="186">
        <f>'Acceso Vehicular'!K31</f>
        <v>0</v>
      </c>
    </row>
    <row r="154" spans="2:9" x14ac:dyDescent="0.25">
      <c r="B154" s="203" t="s">
        <v>363</v>
      </c>
      <c r="C154" s="184" t="str">
        <f>'Acceso Vehicular'!C32</f>
        <v>Videoportero Antivandalico Ip 2N Helios Force con camara HD,protocolo SIP, 2 canales de voz, 2 micrófonos incorporados, altavoz de 10W. Sistema de cancelación de eco y un boton de llamada, incluye caja de empotrar.</v>
      </c>
      <c r="D154" t="s">
        <v>33</v>
      </c>
      <c r="E154" s="148">
        <f>'Acceso Vehicular'!A32</f>
        <v>2</v>
      </c>
      <c r="F154" s="185">
        <f>'Acceso Vehicular'!E32</f>
        <v>1684.8</v>
      </c>
      <c r="G154" s="186">
        <f t="shared" si="7"/>
        <v>3369.6</v>
      </c>
      <c r="H154" s="187">
        <f>'Acceso Vehicular'!J32</f>
        <v>0</v>
      </c>
      <c r="I154" s="186">
        <f>'Acceso Vehicular'!K32</f>
        <v>0</v>
      </c>
    </row>
    <row r="155" spans="2:9" x14ac:dyDescent="0.25">
      <c r="B155" s="203" t="s">
        <v>364</v>
      </c>
      <c r="C155" s="184" t="str">
        <f>'Acceso Vehicular'!C33</f>
        <v>Licencia Gold para Videoportero de interior IP 2N Helios Vario o similar. Para integrar video en VMS</v>
      </c>
      <c r="D155" t="s">
        <v>33</v>
      </c>
      <c r="E155" s="148">
        <f>'Acceso Vehicular'!A33</f>
        <v>2</v>
      </c>
      <c r="F155" s="185">
        <f>'Acceso Vehicular'!E33</f>
        <v>235</v>
      </c>
      <c r="G155" s="186">
        <f t="shared" si="7"/>
        <v>470</v>
      </c>
      <c r="H155" s="187">
        <f>'Acceso Vehicular'!J33</f>
        <v>0</v>
      </c>
      <c r="I155" s="186">
        <f>'Acceso Vehicular'!K33</f>
        <v>0</v>
      </c>
    </row>
    <row r="156" spans="2:9" x14ac:dyDescent="0.25">
      <c r="B156" s="203" t="s">
        <v>365</v>
      </c>
      <c r="C156" s="184" t="str">
        <f>'Acceso Vehicular'!C34</f>
        <v>Conexión a una estación de intercomunicación que incluye conmutación por error y grabación de audio y vídeo bidireccional</v>
      </c>
      <c r="D156" t="s">
        <v>33</v>
      </c>
      <c r="E156" s="148">
        <f>'Acceso Vehicular'!A34</f>
        <v>2</v>
      </c>
      <c r="F156" s="185">
        <f>'Acceso Vehicular'!E34</f>
        <v>228</v>
      </c>
      <c r="G156" s="186">
        <f t="shared" si="7"/>
        <v>456</v>
      </c>
      <c r="H156" s="187">
        <f>'Acceso Vehicular'!J34</f>
        <v>0</v>
      </c>
      <c r="I156" s="186">
        <f>'Acceso Vehicular'!K34</f>
        <v>0</v>
      </c>
    </row>
    <row r="157" spans="2:9" x14ac:dyDescent="0.25">
      <c r="B157" s="203" t="s">
        <v>512</v>
      </c>
      <c r="C157" s="184" t="str">
        <f>'Acceso Vehicular'!C35</f>
        <v>Lector Mifare Desfire EV3 compatible con EV2 y EV1 ARC 1- Secure Architect® One Mullion - Protocolo OSDP - Interfaz RS485 - Conector enchufable/desconectable Cable de 3 m - Color: Negro</v>
      </c>
      <c r="D157" t="s">
        <v>33</v>
      </c>
      <c r="E157" s="148">
        <f>'Acceso Vehicular'!A35</f>
        <v>2</v>
      </c>
      <c r="F157" s="185">
        <f>'Acceso Vehicular'!E35</f>
        <v>265</v>
      </c>
      <c r="G157" s="186">
        <f t="shared" si="7"/>
        <v>530</v>
      </c>
      <c r="H157" s="187">
        <f>'Acceso Vehicular'!J35</f>
        <v>0</v>
      </c>
      <c r="I157" s="186">
        <f>'Acceso Vehicular'!K35</f>
        <v>0</v>
      </c>
    </row>
    <row r="158" spans="2:9" x14ac:dyDescent="0.25">
      <c r="B158" s="203" t="s">
        <v>513</v>
      </c>
      <c r="C158" s="184" t="str">
        <f>'Acceso Vehicular'!C36</f>
        <v>Protección antivandálica para Lector - Junta adhesiva +
tornillos antivandálicos</v>
      </c>
      <c r="D158" t="s">
        <v>33</v>
      </c>
      <c r="E158" s="148">
        <f>'Acceso Vehicular'!A36</f>
        <v>2</v>
      </c>
      <c r="F158" s="185">
        <f>'Acceso Vehicular'!E36</f>
        <v>50</v>
      </c>
      <c r="G158" s="186">
        <f t="shared" si="7"/>
        <v>100</v>
      </c>
      <c r="H158" s="187">
        <f>'Acceso Vehicular'!J36</f>
        <v>0</v>
      </c>
      <c r="I158" s="186">
        <f>'Acceso Vehicular'!K36</f>
        <v>0</v>
      </c>
    </row>
    <row r="159" spans="2:9" x14ac:dyDescent="0.25">
      <c r="B159" s="203" t="s">
        <v>514</v>
      </c>
      <c r="C159" s="184" t="str">
        <f>'Acceso Vehicular'!C37</f>
        <v>Synergis™ Cloud Link with 4GB of RAM, 16GB Flash, de segunda generación second, incluye firmware Synergis™ access control , para cuatro puertos RS-485, PoE.</v>
      </c>
      <c r="D159" t="s">
        <v>33</v>
      </c>
      <c r="E159" s="148">
        <f>'Acceso Vehicular'!A37</f>
        <v>1</v>
      </c>
      <c r="F159" s="185">
        <f>'Acceso Vehicular'!E37</f>
        <v>1250</v>
      </c>
      <c r="G159" s="186">
        <f t="shared" si="7"/>
        <v>1250</v>
      </c>
      <c r="H159" s="187">
        <f>'Acceso Vehicular'!J37</f>
        <v>0</v>
      </c>
      <c r="I159" s="186">
        <f>'Acceso Vehicular'!K37</f>
        <v>0</v>
      </c>
    </row>
    <row r="160" spans="2:9" x14ac:dyDescent="0.25">
      <c r="B160" s="203" t="s">
        <v>515</v>
      </c>
      <c r="C160" s="184" t="str">
        <f>'Acceso Vehicular'!C38</f>
        <v>Controlador inteligente Mercury, basado en Linux, 8 entradas/4 salidas/2 entradas (se incluyen 2 conexiones de licencia de lector)</v>
      </c>
      <c r="D160" t="s">
        <v>33</v>
      </c>
      <c r="E160" s="148">
        <f>'Acceso Vehicular'!A38</f>
        <v>1</v>
      </c>
      <c r="F160" s="185">
        <f>'Acceso Vehicular'!E38</f>
        <v>1530</v>
      </c>
      <c r="G160" s="186">
        <f t="shared" si="7"/>
        <v>1530</v>
      </c>
      <c r="H160" s="187">
        <f>'Acceso Vehicular'!J38</f>
        <v>0</v>
      </c>
      <c r="I160" s="186">
        <f>'Acceso Vehicular'!K38</f>
        <v>0</v>
      </c>
    </row>
    <row r="161" spans="2:9" x14ac:dyDescent="0.25">
      <c r="B161" s="203" t="s">
        <v>366</v>
      </c>
      <c r="C161" s="184" t="str">
        <f>'Acceso Vehicular'!C39</f>
        <v>Batería: Capacidad: 7.2Ah, Tensión Nominal: 12V, Dimensiones: 151 x 65 x 97.5mm, Aplicaciones: Ideal para usar en SAIs/UPC, sistemas de seguridad y alarmas, luces de emergencia, etc..., Duración: 3 a 5 años, Tipo de Terminal: Faston F2, Rango de Temperatura de Funcionamiento: -20 → +60°C</v>
      </c>
      <c r="D161" t="s">
        <v>33</v>
      </c>
      <c r="E161" s="148">
        <f>'Acceso Vehicular'!A39</f>
        <v>1</v>
      </c>
      <c r="F161" s="185">
        <f>'Acceso Vehicular'!E39</f>
        <v>30.5</v>
      </c>
      <c r="G161" s="186">
        <f t="shared" si="7"/>
        <v>30.5</v>
      </c>
      <c r="H161" s="187">
        <f>'Acceso Vehicular'!J39</f>
        <v>0</v>
      </c>
      <c r="I161" s="186">
        <f>'Acceso Vehicular'!K39</f>
        <v>0</v>
      </c>
    </row>
    <row r="162" spans="2:9" x14ac:dyDescent="0.25">
      <c r="B162" s="203" t="s">
        <v>367</v>
      </c>
      <c r="C162" s="184" t="str">
        <f>'Acceso Vehicular'!C40</f>
        <v xml:space="preserve">Fuente alimentación Conmutada 12Vcc/5A, con supervisión de alarma de alimentación y cargador de batería, montaje sobre carril DIN
</v>
      </c>
      <c r="D162" t="s">
        <v>33</v>
      </c>
      <c r="E162" s="148">
        <f>'Acceso Vehicular'!A40</f>
        <v>1</v>
      </c>
      <c r="F162" s="185">
        <f>'Acceso Vehicular'!E40</f>
        <v>256.3</v>
      </c>
      <c r="G162" s="186">
        <f t="shared" si="7"/>
        <v>256.3</v>
      </c>
      <c r="H162" s="187">
        <f>'Acceso Vehicular'!J40</f>
        <v>0</v>
      </c>
      <c r="I162" s="186">
        <f>'Acceso Vehicular'!K40</f>
        <v>0</v>
      </c>
    </row>
    <row r="163" spans="2:9" x14ac:dyDescent="0.25">
      <c r="B163" s="203" t="s">
        <v>368</v>
      </c>
      <c r="C163" s="184" t="str">
        <f>'Acceso Vehicular'!C41</f>
        <v>Kit de cámara AutoVu™ SharpV Negro que incluye: Lentes motorizadas duales SharpV (LPR y Contexto) con iluminador de 850 nm, soporte de montaje y conexión de cámara Sharp (se requiere 24 VCC o PoE++ 802.3bt tipo 3).</v>
      </c>
      <c r="D163" t="s">
        <v>33</v>
      </c>
      <c r="E163" s="148">
        <f>'Acceso Vehicular'!A41</f>
        <v>1</v>
      </c>
      <c r="F163" s="185">
        <f>'Acceso Vehicular'!E41</f>
        <v>4230</v>
      </c>
      <c r="G163" s="186">
        <f t="shared" si="7"/>
        <v>4230</v>
      </c>
      <c r="H163" s="187">
        <f>'Acceso Vehicular'!J41</f>
        <v>0</v>
      </c>
      <c r="I163" s="186">
        <f>'Acceso Vehicular'!K41</f>
        <v>0</v>
      </c>
    </row>
    <row r="164" spans="2:9" x14ac:dyDescent="0.25">
      <c r="B164" s="203" t="s">
        <v>516</v>
      </c>
      <c r="C164" s="184" t="str">
        <f>'Acceso Vehicular'!C42</f>
        <v>Brazo soporte a muro cámara AutoVu SharpV</v>
      </c>
      <c r="D164" t="s">
        <v>33</v>
      </c>
      <c r="E164" s="148">
        <f>'Acceso Vehicular'!A42</f>
        <v>1</v>
      </c>
      <c r="F164" s="185">
        <f>'Acceso Vehicular'!E42</f>
        <v>92</v>
      </c>
      <c r="G164" s="186">
        <f t="shared" si="7"/>
        <v>92</v>
      </c>
      <c r="H164" s="187">
        <f>'Acceso Vehicular'!J42</f>
        <v>0</v>
      </c>
      <c r="I164" s="186">
        <f>'Acceso Vehicular'!K42</f>
        <v>0</v>
      </c>
    </row>
    <row r="165" spans="2:9" x14ac:dyDescent="0.25">
      <c r="B165" s="203" t="s">
        <v>517</v>
      </c>
      <c r="C165" s="184" t="str">
        <f>'Acceso Vehicular'!C43</f>
        <v xml:space="preserve">Conexionado de la puerta de carruaje de salida al sistema de control de accesos y a la botonera de actuación manual.  </v>
      </c>
      <c r="D165" t="s">
        <v>33</v>
      </c>
      <c r="E165" s="148">
        <f>'Acceso Vehicular'!A43</f>
        <v>1</v>
      </c>
      <c r="F165" s="185">
        <f>'Acceso Vehicular'!E43</f>
        <v>100</v>
      </c>
      <c r="G165" s="186">
        <f t="shared" si="7"/>
        <v>100</v>
      </c>
      <c r="H165" s="187">
        <f>'Acceso Vehicular'!J43</f>
        <v>0</v>
      </c>
      <c r="I165" s="186">
        <f>'Acceso Vehicular'!K43</f>
        <v>0</v>
      </c>
    </row>
    <row r="166" spans="2:9" x14ac:dyDescent="0.25">
      <c r="B166" s="203" t="s">
        <v>518</v>
      </c>
      <c r="C166" s="184" t="str">
        <f>'Acceso Vehicular'!C44</f>
        <v>Resalto de plástico, marca 3M o similar, de 2,5 metros de ancho, a instalar en viales de vehículos antes de la barrera de acceso vehicular.</v>
      </c>
      <c r="D166" t="s">
        <v>33</v>
      </c>
      <c r="E166" s="148">
        <f>'Acceso Vehicular'!A44</f>
        <v>2</v>
      </c>
      <c r="F166" s="185">
        <f>'Acceso Vehicular'!E44</f>
        <v>377.4</v>
      </c>
      <c r="G166" s="186">
        <f t="shared" si="7"/>
        <v>754.8</v>
      </c>
      <c r="H166" s="187">
        <f>'Acceso Vehicular'!J44</f>
        <v>0</v>
      </c>
      <c r="I166" s="186">
        <f>'Acceso Vehicular'!K44</f>
        <v>0</v>
      </c>
    </row>
    <row r="167" spans="2:9" x14ac:dyDescent="0.25">
      <c r="B167" s="203" t="s">
        <v>369</v>
      </c>
      <c r="C167" s="184" t="str">
        <f>'Acceso Vehicular'!C45</f>
        <v xml:space="preserve">Suministro e instalación de manguera de FTP CAT6A o superior CAT7 de exterior con cubierta de PE protección UV, malla-chapa antiroedor, CPR, 4 pares trenzados, bindaje independiente por par y blindaje común a los 4 pares, pp. Conexionado y certificación </v>
      </c>
      <c r="D167" t="s">
        <v>33</v>
      </c>
      <c r="E167" s="148">
        <f>'Acceso Vehicular'!A45</f>
        <v>200</v>
      </c>
      <c r="F167" s="185">
        <f>'Acceso Vehicular'!E45</f>
        <v>5.3</v>
      </c>
      <c r="G167" s="186">
        <f t="shared" si="7"/>
        <v>1060</v>
      </c>
      <c r="H167" s="187">
        <f>'Acceso Vehicular'!J45</f>
        <v>0</v>
      </c>
      <c r="I167" s="186">
        <f>'Acceso Vehicular'!K45</f>
        <v>0</v>
      </c>
    </row>
    <row r="168" spans="2:9" x14ac:dyDescent="0.25">
      <c r="B168" s="203" t="s">
        <v>370</v>
      </c>
      <c r="C168" s="184" t="str">
        <f>'Acceso Vehicular'!C46</f>
        <v>Suministro e instalación de cable RS-485 para lectora 2x2x0,35,  malla-chapa antiroedor, incluida parte proporcional de conexionado.</v>
      </c>
      <c r="D168" t="s">
        <v>33</v>
      </c>
      <c r="E168" s="148">
        <f>'Acceso Vehicular'!A46</f>
        <v>60</v>
      </c>
      <c r="F168" s="185">
        <f>'Acceso Vehicular'!E46</f>
        <v>1.85</v>
      </c>
      <c r="G168" s="186">
        <f t="shared" si="7"/>
        <v>111</v>
      </c>
      <c r="H168" s="187">
        <f>'Acceso Vehicular'!J46</f>
        <v>0</v>
      </c>
      <c r="I168" s="186">
        <f>'Acceso Vehicular'!K46</f>
        <v>0</v>
      </c>
    </row>
    <row r="169" spans="2:9" x14ac:dyDescent="0.25">
      <c r="B169" s="203" t="s">
        <v>371</v>
      </c>
      <c r="C169" s="184" t="str">
        <f>'Acceso Vehicular'!C47</f>
        <v>Suministro e instalación de manguera exterior RZ1-K 3x2,5mm
Suministro e instalación de cable de cobre multipolar de 3G2,5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v>
      </c>
      <c r="D169" t="s">
        <v>33</v>
      </c>
      <c r="E169" s="148">
        <f>'Acceso Vehicular'!A47</f>
        <v>100</v>
      </c>
      <c r="F169" s="185">
        <f>'Acceso Vehicular'!E47</f>
        <v>2.2000000000000002</v>
      </c>
      <c r="G169" s="186">
        <f t="shared" si="7"/>
        <v>220</v>
      </c>
      <c r="H169" s="187">
        <f>'Acceso Vehicular'!J47</f>
        <v>0</v>
      </c>
      <c r="I169" s="186">
        <f>'Acceso Vehicular'!K47</f>
        <v>0</v>
      </c>
    </row>
    <row r="170" spans="2:9" x14ac:dyDescent="0.25">
      <c r="B170" s="203" t="s">
        <v>519</v>
      </c>
      <c r="C170" s="184" t="str">
        <f>'Acceso Vehicular'!C48</f>
        <v>Suministro e instalación de tubo acero indicado para instalaciones exteriores de enlace y acometidas, de diámetro 32 mm, Instalado en superficie sobre paramentos mediante soportes de tipo abrazadera separados cada 50 cm como máximo. Totalmente montado; i/p.p. de anclajes y accesorios.</v>
      </c>
      <c r="D170" t="s">
        <v>33</v>
      </c>
      <c r="E170" s="148">
        <f>'Acceso Vehicular'!A48</f>
        <v>50</v>
      </c>
      <c r="F170" s="185">
        <f>'Acceso Vehicular'!E48</f>
        <v>12.95</v>
      </c>
      <c r="G170" s="186">
        <f t="shared" si="7"/>
        <v>647.5</v>
      </c>
      <c r="H170" s="187">
        <f>'Acceso Vehicular'!J48</f>
        <v>0</v>
      </c>
      <c r="I170" s="186">
        <f>'Acceso Vehicular'!K48</f>
        <v>0</v>
      </c>
    </row>
    <row r="171" spans="2:9" x14ac:dyDescent="0.25">
      <c r="B171" s="203" t="s">
        <v>372</v>
      </c>
      <c r="C171" s="184" t="str">
        <f>'Acceso Vehicular'!C49</f>
        <v xml:space="preserve">Conector blindado macho RJ45 CAT6A. Modelo DRP10, de 8 vías Amphenol Communications Solutions. El diseño facilita el montaje y el desmontaje. Su construcción robusta garantiza un funcionamiento fiable en entornos hostiles. Opciones de salida de cable rectas, de 45 y 90°, para gestionar cables con flexibilidad. Rendimiento de alta velocidad de datos para Ethernet 10 G. Conectores macho IDC con terminación en campo. Construcción metálica para entornos hostiles. Se puede volver a terminar para facilitar la reinstalación. Cable de 24-27 AWG. </v>
      </c>
      <c r="D171" t="s">
        <v>33</v>
      </c>
      <c r="E171" s="148">
        <f>'Acceso Vehicular'!A49</f>
        <v>10</v>
      </c>
      <c r="F171" s="185">
        <f>'Acceso Vehicular'!E49</f>
        <v>9.1</v>
      </c>
      <c r="G171" s="186">
        <f t="shared" si="7"/>
        <v>91</v>
      </c>
      <c r="H171" s="187">
        <f>'Acceso Vehicular'!J49</f>
        <v>0</v>
      </c>
      <c r="I171" s="186">
        <f>'Acceso Vehicular'!K49</f>
        <v>0</v>
      </c>
    </row>
    <row r="172" spans="2:9" x14ac:dyDescent="0.25">
      <c r="B172" s="203" t="s">
        <v>373</v>
      </c>
      <c r="C172" s="184" t="str">
        <f>'Acceso Vehicular'!C50</f>
        <v>Latiguillo de 4 pares RJ45-RJ45 de Categoría 6a sin apantallar diseño UTP para transmisión de datos hasta 1Gigabit Ethernet, diámetro de 6 mm, cubierta libre de halógenos LSZH.Manguito especial transparente, estrecho y pestaña "anti-enganches"</v>
      </c>
      <c r="D172" t="s">
        <v>33</v>
      </c>
      <c r="E172" s="148">
        <f>'Acceso Vehicular'!A50</f>
        <v>5</v>
      </c>
      <c r="F172" s="185">
        <f>'Acceso Vehicular'!E50</f>
        <v>6.15</v>
      </c>
      <c r="G172" s="186">
        <f t="shared" si="7"/>
        <v>30.75</v>
      </c>
      <c r="H172" s="187">
        <f>'Acceso Vehicular'!J50</f>
        <v>0</v>
      </c>
      <c r="I172" s="186">
        <f>'Acceso Vehicular'!K50</f>
        <v>0</v>
      </c>
    </row>
    <row r="173" spans="2:9" x14ac:dyDescent="0.25">
      <c r="B173" s="203" t="s">
        <v>520</v>
      </c>
      <c r="C173" s="184" t="str">
        <f>'Acceso Vehicular'!C52</f>
        <v>Partida de mano de obra para Montaje equipos salida</v>
      </c>
      <c r="D173" t="s">
        <v>33</v>
      </c>
      <c r="E173" s="148">
        <f>'Acceso Vehicular'!A52</f>
        <v>1</v>
      </c>
      <c r="F173" s="185">
        <f>'Acceso Vehicular'!E52</f>
        <v>4800</v>
      </c>
      <c r="G173" s="186">
        <f t="shared" si="7"/>
        <v>4800</v>
      </c>
      <c r="H173" s="187">
        <f>'Acceso Vehicular'!J52</f>
        <v>0</v>
      </c>
      <c r="I173" s="186">
        <f>'Acceso Vehicular'!K52</f>
        <v>0</v>
      </c>
    </row>
    <row r="174" spans="2:9" x14ac:dyDescent="0.25">
      <c r="B174" s="203" t="s">
        <v>374</v>
      </c>
      <c r="C174" s="184" t="str">
        <f>'Acceso Vehicular'!C53</f>
        <v xml:space="preserve">Partida alzada ayudas auxiliares en equipamiento y mano de obra de instalaciones </v>
      </c>
      <c r="D174" t="s">
        <v>33</v>
      </c>
      <c r="E174" s="148">
        <f>'Acceso Vehicular'!A53</f>
        <v>1</v>
      </c>
      <c r="F174" s="185">
        <f>'Acceso Vehicular'!E53</f>
        <v>475.279</v>
      </c>
      <c r="G174" s="186">
        <f t="shared" si="7"/>
        <v>475.28</v>
      </c>
      <c r="H174" s="187">
        <f>'Acceso Vehicular'!J53</f>
        <v>475.279</v>
      </c>
      <c r="I174" s="186">
        <f>'Acceso Vehicular'!K53</f>
        <v>475.28</v>
      </c>
    </row>
    <row r="175" spans="2:9" x14ac:dyDescent="0.25">
      <c r="B175" s="203" t="s">
        <v>375</v>
      </c>
      <c r="C175" s="184" t="str">
        <f>'Acceso Vehicular'!C54</f>
        <v>Partida alzada ayudas auxiliares en equipamiento y mano de obra de obra civil o albañilería</v>
      </c>
      <c r="D175" t="s">
        <v>33</v>
      </c>
      <c r="E175" s="148">
        <f>'Acceso Vehicular'!A54</f>
        <v>1</v>
      </c>
      <c r="F175" s="185">
        <f>'Acceso Vehicular'!E54</f>
        <v>475.279</v>
      </c>
      <c r="G175" s="186">
        <f t="shared" si="7"/>
        <v>475.28</v>
      </c>
      <c r="H175" s="187">
        <f>'Acceso Vehicular'!J54</f>
        <v>475.279</v>
      </c>
      <c r="I175" s="186">
        <f>'Acceso Vehicular'!K54</f>
        <v>475.28</v>
      </c>
    </row>
    <row r="176" spans="2:9" x14ac:dyDescent="0.25">
      <c r="B176" s="203" t="s">
        <v>376</v>
      </c>
      <c r="C176" s="184" t="str">
        <f>'Acceso Vehicular'!C56</f>
        <v>Suministro e instalación de bucle inductivo para la detección - Coche (2x1m / conexión 2m)</v>
      </c>
      <c r="D176" t="s">
        <v>33</v>
      </c>
      <c r="E176" s="148">
        <f>'Acceso Vehicular'!A56</f>
        <v>2</v>
      </c>
      <c r="F176" s="185">
        <f>'Acceso Vehicular'!E56</f>
        <v>85</v>
      </c>
      <c r="G176" s="186">
        <f t="shared" si="7"/>
        <v>170</v>
      </c>
      <c r="H176" s="187">
        <f>'Acceso Vehicular'!J56</f>
        <v>0</v>
      </c>
      <c r="I176" s="186">
        <f>'Acceso Vehicular'!K56</f>
        <v>0</v>
      </c>
    </row>
    <row r="177" spans="2:9" x14ac:dyDescent="0.25">
      <c r="B177" s="203" t="s">
        <v>377</v>
      </c>
      <c r="C177" s="184" t="str">
        <f>'Acceso Vehicular'!C57</f>
        <v>Suministro e instalación de sensor de presencia en carril - Doble canal</v>
      </c>
      <c r="D177" t="s">
        <v>33</v>
      </c>
      <c r="E177" s="148">
        <f>'Acceso Vehicular'!A57</f>
        <v>1</v>
      </c>
      <c r="F177" s="185">
        <f>'Acceso Vehicular'!E57</f>
        <v>235</v>
      </c>
      <c r="G177" s="186">
        <f t="shared" si="7"/>
        <v>235</v>
      </c>
      <c r="H177" s="187">
        <f>'Acceso Vehicular'!J57</f>
        <v>0</v>
      </c>
      <c r="I177" s="186">
        <f>'Acceso Vehicular'!K57</f>
        <v>0</v>
      </c>
    </row>
    <row r="178" spans="2:9" x14ac:dyDescent="0.25">
      <c r="B178" s="203" t="s">
        <v>378</v>
      </c>
      <c r="C178" s="184" t="str">
        <f>'Acceso Vehicular'!C58</f>
        <v>Radar de detección de vehículos y personas</v>
      </c>
      <c r="D178" t="s">
        <v>33</v>
      </c>
      <c r="E178" s="148">
        <f>'Acceso Vehicular'!A58</f>
        <v>1</v>
      </c>
      <c r="F178" s="185">
        <f>'Acceso Vehicular'!E58</f>
        <v>490</v>
      </c>
      <c r="G178" s="186">
        <f t="shared" si="7"/>
        <v>490</v>
      </c>
      <c r="H178" s="187">
        <f>'Acceso Vehicular'!J58</f>
        <v>0</v>
      </c>
      <c r="I178" s="186">
        <f>'Acceso Vehicular'!K58</f>
        <v>0</v>
      </c>
    </row>
    <row r="179" spans="2:9" x14ac:dyDescent="0.25">
      <c r="B179" s="203" t="s">
        <v>379</v>
      </c>
      <c r="C179" s="184" t="str">
        <f>'Acceso Vehicular'!C59</f>
        <v>Suministro e instalación de Interfaz Ethernet (AS1622)</v>
      </c>
      <c r="D179" t="s">
        <v>33</v>
      </c>
      <c r="E179" s="148">
        <f>'Acceso Vehicular'!A59</f>
        <v>1</v>
      </c>
      <c r="F179" s="185">
        <f>'Acceso Vehicular'!E59</f>
        <v>120</v>
      </c>
      <c r="G179" s="186">
        <f t="shared" si="7"/>
        <v>120</v>
      </c>
      <c r="H179" s="187">
        <f>'Acceso Vehicular'!J59</f>
        <v>0</v>
      </c>
      <c r="I179" s="186">
        <f>'Acceso Vehicular'!K59</f>
        <v>0</v>
      </c>
    </row>
    <row r="180" spans="2:9" x14ac:dyDescent="0.25">
      <c r="B180" s="203" t="s">
        <v>380</v>
      </c>
      <c r="C180" s="184" t="str">
        <f>'Acceso Vehicular'!C60</f>
        <v>Suministro e instalación de pantalla a color de interfaz hombre-máquina con teclado de placa lógica AS1620 (AS1621)</v>
      </c>
      <c r="D180" t="s">
        <v>33</v>
      </c>
      <c r="E180" s="148">
        <f>'Acceso Vehicular'!A60</f>
        <v>1</v>
      </c>
      <c r="F180" s="185">
        <f>'Acceso Vehicular'!E60</f>
        <v>120</v>
      </c>
      <c r="G180" s="186">
        <f t="shared" si="7"/>
        <v>120</v>
      </c>
      <c r="H180" s="187">
        <f>'Acceso Vehicular'!J60</f>
        <v>0</v>
      </c>
      <c r="I180" s="186">
        <f>'Acceso Vehicular'!K60</f>
        <v>0</v>
      </c>
    </row>
    <row r="181" spans="2:9" x14ac:dyDescent="0.25">
      <c r="B181" s="203" t="s">
        <v>381</v>
      </c>
      <c r="C181" s="184" t="str">
        <f>'Acceso Vehicular'!C61</f>
        <v>Suministro e instalación de contador totalizador (número de operaciones del vehículo)</v>
      </c>
      <c r="D181" t="s">
        <v>33</v>
      </c>
      <c r="E181" s="148">
        <f>'Acceso Vehicular'!A61</f>
        <v>1</v>
      </c>
      <c r="F181" s="185">
        <f>'Acceso Vehicular'!E61</f>
        <v>170</v>
      </c>
      <c r="G181" s="186">
        <f t="shared" si="7"/>
        <v>170</v>
      </c>
      <c r="H181" s="187">
        <f>'Acceso Vehicular'!J61</f>
        <v>0</v>
      </c>
      <c r="I181" s="186">
        <f>'Acceso Vehicular'!K61</f>
        <v>0</v>
      </c>
    </row>
    <row r="182" spans="2:9" x14ac:dyDescent="0.25">
      <c r="B182" s="203" t="s">
        <v>382</v>
      </c>
      <c r="C182" s="184" t="str">
        <f>'Acceso Vehicular'!C62</f>
        <v>Suministro e instalación de semáforos (Ø200mm) - LEDs rojos/verdes - Fijados en un poste de apoyo en la barrera</v>
      </c>
      <c r="D182" t="s">
        <v>33</v>
      </c>
      <c r="E182" s="148">
        <f>'Acceso Vehicular'!A62</f>
        <v>1</v>
      </c>
      <c r="F182" s="185">
        <f>'Acceso Vehicular'!E62</f>
        <v>1215</v>
      </c>
      <c r="G182" s="186">
        <f t="shared" si="7"/>
        <v>1215</v>
      </c>
      <c r="H182" s="187">
        <f>'Acceso Vehicular'!J62</f>
        <v>0</v>
      </c>
      <c r="I182" s="186">
        <f>'Acceso Vehicular'!K62</f>
        <v>0</v>
      </c>
    </row>
    <row r="183" spans="2:9" x14ac:dyDescent="0.25">
      <c r="B183" s="203" t="s">
        <v>383</v>
      </c>
      <c r="C183" s="184" t="str">
        <f>'Acceso Vehicular'!C63</f>
        <v>Báculo altura mixta (doble altura) para turismos y camiones construido en acero inox. AISI-316,incluye  mecanizado para alojar 2 lectores estándar y 2 videoporteros.</v>
      </c>
      <c r="D183" t="s">
        <v>33</v>
      </c>
      <c r="E183" s="148">
        <f>'Acceso Vehicular'!A63</f>
        <v>1</v>
      </c>
      <c r="F183" s="185">
        <f>'Acceso Vehicular'!E63</f>
        <v>1668.46</v>
      </c>
      <c r="G183" s="186">
        <f t="shared" si="7"/>
        <v>1668.46</v>
      </c>
      <c r="H183" s="187">
        <f>'Acceso Vehicular'!J63</f>
        <v>0</v>
      </c>
      <c r="I183" s="186">
        <f>'Acceso Vehicular'!K63</f>
        <v>0</v>
      </c>
    </row>
    <row r="184" spans="2:9" x14ac:dyDescent="0.25">
      <c r="B184" s="203" t="s">
        <v>521</v>
      </c>
      <c r="C184" s="184" t="str">
        <f>'Acceso Vehicular'!C64</f>
        <v>Videoportero Antivandalico Ip 2N Helios Force con camara HD,protocolo SIP, 2 canales de voz, 2 micrófonos incorporados, altavoz de 10W. Sistema de cancelación de eco y un boton de llamada, incluye caja de empotrar.</v>
      </c>
      <c r="D184" t="s">
        <v>33</v>
      </c>
      <c r="E184" s="148">
        <f>'Acceso Vehicular'!A64</f>
        <v>2</v>
      </c>
      <c r="F184" s="185">
        <f>'Acceso Vehicular'!E64</f>
        <v>1684.8</v>
      </c>
      <c r="G184" s="186">
        <f t="shared" si="7"/>
        <v>3369.6</v>
      </c>
      <c r="H184" s="187">
        <f>'Acceso Vehicular'!J64</f>
        <v>0</v>
      </c>
      <c r="I184" s="186">
        <f>'Acceso Vehicular'!K64</f>
        <v>0</v>
      </c>
    </row>
    <row r="185" spans="2:9" x14ac:dyDescent="0.25">
      <c r="B185" s="203" t="s">
        <v>522</v>
      </c>
      <c r="C185" s="184" t="str">
        <f>'Acceso Vehicular'!C65</f>
        <v>Licencia Gold para Videoportero de interior IP 2N Helios Vario o similar. Para integrar video en VMS</v>
      </c>
      <c r="D185" t="s">
        <v>33</v>
      </c>
      <c r="E185" s="148">
        <f>'Acceso Vehicular'!A65</f>
        <v>2</v>
      </c>
      <c r="F185" s="185">
        <f>'Acceso Vehicular'!E65</f>
        <v>235</v>
      </c>
      <c r="G185" s="186">
        <f t="shared" si="7"/>
        <v>470</v>
      </c>
      <c r="H185" s="187">
        <f>'Acceso Vehicular'!J65</f>
        <v>0</v>
      </c>
      <c r="I185" s="186">
        <f>'Acceso Vehicular'!K65</f>
        <v>0</v>
      </c>
    </row>
    <row r="186" spans="2:9" x14ac:dyDescent="0.25">
      <c r="B186" s="203" t="s">
        <v>523</v>
      </c>
      <c r="C186" s="184" t="str">
        <f>'Acceso Vehicular'!C66</f>
        <v>Conexión a una estación de intercomunicación que incluye conmutación por error y grabación de audio y vídeo bidireccional</v>
      </c>
      <c r="D186" t="s">
        <v>33</v>
      </c>
      <c r="E186" s="148">
        <f>'Acceso Vehicular'!A66</f>
        <v>2</v>
      </c>
      <c r="F186" s="185">
        <f>'Acceso Vehicular'!E66</f>
        <v>228</v>
      </c>
      <c r="G186" s="186">
        <f t="shared" si="7"/>
        <v>456</v>
      </c>
      <c r="H186" s="187">
        <f>'Acceso Vehicular'!J66</f>
        <v>0</v>
      </c>
      <c r="I186" s="186">
        <f>'Acceso Vehicular'!K66</f>
        <v>0</v>
      </c>
    </row>
    <row r="187" spans="2:9" x14ac:dyDescent="0.25">
      <c r="B187" s="203" t="s">
        <v>524</v>
      </c>
      <c r="C187" s="184" t="str">
        <f>'Acceso Vehicular'!C67</f>
        <v>Lector Mifare Desfire EV3 compatible con EV2 y EV1 ARC 1- Secure Architect® One Mullion - Protocolo OSDP - Interfaz RS485 - Conector enchufable/desconectable Cable de 3 m - Color: Negro</v>
      </c>
      <c r="D187" t="s">
        <v>33</v>
      </c>
      <c r="E187" s="148">
        <f>'Acceso Vehicular'!A67</f>
        <v>2</v>
      </c>
      <c r="F187" s="185">
        <f>'Acceso Vehicular'!E67</f>
        <v>265</v>
      </c>
      <c r="G187" s="186">
        <f t="shared" si="7"/>
        <v>530</v>
      </c>
      <c r="H187" s="187">
        <f>'Acceso Vehicular'!J67</f>
        <v>0</v>
      </c>
      <c r="I187" s="186">
        <f>'Acceso Vehicular'!K67</f>
        <v>0</v>
      </c>
    </row>
    <row r="188" spans="2:9" x14ac:dyDescent="0.25">
      <c r="B188" s="203" t="s">
        <v>525</v>
      </c>
      <c r="C188" s="184" t="str">
        <f>'Acceso Vehicular'!C68</f>
        <v>Protección antivandálica para Lector - Junta adhesiva +
tornillos antivandálicos</v>
      </c>
      <c r="D188" t="s">
        <v>33</v>
      </c>
      <c r="E188" s="148">
        <f>'Acceso Vehicular'!A68</f>
        <v>2</v>
      </c>
      <c r="F188" s="185">
        <f>'Acceso Vehicular'!E68</f>
        <v>50</v>
      </c>
      <c r="G188" s="186">
        <f t="shared" si="7"/>
        <v>100</v>
      </c>
      <c r="H188" s="187">
        <f>'Acceso Vehicular'!J68</f>
        <v>0</v>
      </c>
      <c r="I188" s="186">
        <f>'Acceso Vehicular'!K68</f>
        <v>0</v>
      </c>
    </row>
    <row r="189" spans="2:9" x14ac:dyDescent="0.25">
      <c r="B189" s="203" t="s">
        <v>526</v>
      </c>
      <c r="C189" s="184" t="str">
        <f>'Acceso Vehicular'!C69</f>
        <v>Controlador inteligente Mercury, basado en Linux, 8 entradas/4 salidas/2 entradas (se incluyen 2 conexiones de licencia de lector)</v>
      </c>
      <c r="D189" t="s">
        <v>33</v>
      </c>
      <c r="E189" s="148">
        <f>'Acceso Vehicular'!A69</f>
        <v>1</v>
      </c>
      <c r="F189" s="185">
        <f>'Acceso Vehicular'!E69</f>
        <v>1530</v>
      </c>
      <c r="G189" s="186">
        <f t="shared" si="7"/>
        <v>1530</v>
      </c>
      <c r="H189" s="187">
        <f>'Acceso Vehicular'!J69</f>
        <v>0</v>
      </c>
      <c r="I189" s="186">
        <f>'Acceso Vehicular'!K69</f>
        <v>0</v>
      </c>
    </row>
    <row r="190" spans="2:9" x14ac:dyDescent="0.25">
      <c r="B190" s="203" t="s">
        <v>527</v>
      </c>
      <c r="C190" s="184" t="str">
        <f>'Acceso Vehicular'!C70</f>
        <v>Batería: Capacidad: 7.2Ah, Tensión Nominal: 12V, Dimensiones: 151 x 65 x 97.5mm, Aplicaciones: Ideal para usar en SAIs/UPC, sistemas de seguridad y alarmas, luces de emergencia, etc..., Duración: 3 a 5 años, Tipo de Terminal: Faston F2, Rango de Temperatura de Funcionamiento: -20 → +60°C</v>
      </c>
      <c r="D190" t="s">
        <v>33</v>
      </c>
      <c r="E190" s="148">
        <f>'Acceso Vehicular'!A70</f>
        <v>1</v>
      </c>
      <c r="F190" s="185">
        <f>'Acceso Vehicular'!E70</f>
        <v>30.5</v>
      </c>
      <c r="G190" s="186">
        <f t="shared" si="7"/>
        <v>30.5</v>
      </c>
      <c r="H190" s="187">
        <f>'Acceso Vehicular'!J70</f>
        <v>0</v>
      </c>
      <c r="I190" s="186">
        <f>'Acceso Vehicular'!K70</f>
        <v>0</v>
      </c>
    </row>
    <row r="191" spans="2:9" x14ac:dyDescent="0.25">
      <c r="B191" s="203" t="s">
        <v>528</v>
      </c>
      <c r="C191" s="184" t="str">
        <f>'Acceso Vehicular'!C71</f>
        <v>Kit de cámara AutoVu™ SharpV Negro que incluye: Lentes motorizadas duales SharpV (LPR y Contexto) con iluminador de 850 nm, soporte de montaje y conexión de cámara Sharp (se requiere 24 VCC o PoE++ 802.3bt tipo 3).</v>
      </c>
      <c r="D191" t="s">
        <v>33</v>
      </c>
      <c r="E191" s="148">
        <f>'Acceso Vehicular'!A71</f>
        <v>1</v>
      </c>
      <c r="F191" s="185">
        <f>'Acceso Vehicular'!E71</f>
        <v>4230</v>
      </c>
      <c r="G191" s="186">
        <f t="shared" si="7"/>
        <v>4230</v>
      </c>
      <c r="H191" s="187">
        <f>'Acceso Vehicular'!J71</f>
        <v>0</v>
      </c>
      <c r="I191" s="186">
        <f>'Acceso Vehicular'!K71</f>
        <v>0</v>
      </c>
    </row>
    <row r="192" spans="2:9" x14ac:dyDescent="0.25">
      <c r="B192" s="203" t="s">
        <v>529</v>
      </c>
      <c r="C192" s="184" t="str">
        <f>'Acceso Vehicular'!C72</f>
        <v>Brazo soporte a muro cámara AutoVu SharpV</v>
      </c>
      <c r="D192" t="s">
        <v>33</v>
      </c>
      <c r="E192" s="148">
        <f>'Acceso Vehicular'!A72</f>
        <v>1</v>
      </c>
      <c r="F192" s="185">
        <f>'Acceso Vehicular'!E72</f>
        <v>92</v>
      </c>
      <c r="G192" s="186">
        <f t="shared" si="7"/>
        <v>92</v>
      </c>
      <c r="H192" s="187">
        <f>'Acceso Vehicular'!J72</f>
        <v>0</v>
      </c>
      <c r="I192" s="186">
        <f>'Acceso Vehicular'!K72</f>
        <v>0</v>
      </c>
    </row>
    <row r="193" spans="1:9" x14ac:dyDescent="0.25">
      <c r="B193" s="203" t="s">
        <v>530</v>
      </c>
      <c r="C193" s="184" t="str">
        <f>'Acceso Vehicular'!C73</f>
        <v xml:space="preserve">Conexionado de la puerta de carruaje de entrada al sistema de control de accesos y a la botonera de actuación manual.  </v>
      </c>
      <c r="D193" t="s">
        <v>33</v>
      </c>
      <c r="E193" s="148">
        <f>'Acceso Vehicular'!A73</f>
        <v>1</v>
      </c>
      <c r="F193" s="185">
        <f>'Acceso Vehicular'!E73</f>
        <v>100</v>
      </c>
      <c r="G193" s="186">
        <f t="shared" si="7"/>
        <v>100</v>
      </c>
      <c r="H193" s="187">
        <f>'Acceso Vehicular'!J73</f>
        <v>0</v>
      </c>
      <c r="I193" s="186">
        <f>'Acceso Vehicular'!K73</f>
        <v>0</v>
      </c>
    </row>
    <row r="194" spans="1:9" x14ac:dyDescent="0.25">
      <c r="B194" s="203" t="s">
        <v>531</v>
      </c>
      <c r="C194" s="184" t="str">
        <f>'Acceso Vehicular'!C74</f>
        <v>Resalto de plástico, marca 3M o similar, de 2,5 metros de ancho, a instalar en viales de vehículos antes de la barrera de acceso vehicular.</v>
      </c>
      <c r="D194" t="s">
        <v>33</v>
      </c>
      <c r="E194" s="148">
        <f>'Acceso Vehicular'!A74</f>
        <v>2</v>
      </c>
      <c r="F194" s="185">
        <f>'Acceso Vehicular'!E74</f>
        <v>377.4</v>
      </c>
      <c r="G194" s="186">
        <f t="shared" si="7"/>
        <v>754.8</v>
      </c>
      <c r="H194" s="187">
        <f>'Acceso Vehicular'!J74</f>
        <v>0</v>
      </c>
      <c r="I194" s="186">
        <f>'Acceso Vehicular'!K74</f>
        <v>0</v>
      </c>
    </row>
    <row r="195" spans="1:9" x14ac:dyDescent="0.25">
      <c r="B195" s="203" t="s">
        <v>532</v>
      </c>
      <c r="C195" s="184" t="str">
        <f>'Acceso Vehicular'!C75</f>
        <v xml:space="preserve">Suministro e instalación de manguera de FTP CAT6A o superior CAT7 de exterior con cubierta de PE protección UV, malla-chapa antiroedor, CPR, 4 pares trenzados, bindaje independiente por par y blindaje común a los 4 pares, pp. Conexionado y certificación </v>
      </c>
      <c r="D195" t="s">
        <v>33</v>
      </c>
      <c r="E195" s="148">
        <f>'Acceso Vehicular'!A75</f>
        <v>200</v>
      </c>
      <c r="F195" s="185">
        <f>'Acceso Vehicular'!E75</f>
        <v>5.3</v>
      </c>
      <c r="G195" s="186">
        <f t="shared" si="7"/>
        <v>1060</v>
      </c>
      <c r="H195" s="187">
        <f>'Acceso Vehicular'!J75</f>
        <v>0</v>
      </c>
      <c r="I195" s="186">
        <f>'Acceso Vehicular'!K75</f>
        <v>0</v>
      </c>
    </row>
    <row r="196" spans="1:9" x14ac:dyDescent="0.25">
      <c r="B196" s="203" t="s">
        <v>568</v>
      </c>
      <c r="C196" s="184" t="str">
        <f>'Acceso Vehicular'!C76</f>
        <v>Suministro e instalación de cable RS-485 para lectora 2x2x0,35,  malla-chapa antiroedor, incluida parte proporcional de conexionado.</v>
      </c>
      <c r="D196" t="s">
        <v>33</v>
      </c>
      <c r="E196" s="148">
        <f>'Acceso Vehicular'!A76</f>
        <v>60</v>
      </c>
      <c r="F196" s="185">
        <f>'Acceso Vehicular'!E76</f>
        <v>1.85</v>
      </c>
      <c r="G196" s="186">
        <f t="shared" si="7"/>
        <v>111</v>
      </c>
      <c r="H196" s="187">
        <f>'Acceso Vehicular'!J76</f>
        <v>0</v>
      </c>
      <c r="I196" s="186">
        <f>'Acceso Vehicular'!K76</f>
        <v>0</v>
      </c>
    </row>
    <row r="197" spans="1:9" x14ac:dyDescent="0.25">
      <c r="B197" s="203" t="s">
        <v>569</v>
      </c>
      <c r="C197" s="184" t="str">
        <f>'Acceso Vehicular'!C77</f>
        <v>Suministro e instalación de manguera exterior RZ1-K 3x2,5mm
Suministro e instalación de cable de cobre multipolar de 3G2,5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y conexionado.</v>
      </c>
      <c r="D197" t="s">
        <v>33</v>
      </c>
      <c r="E197" s="148">
        <f>'Acceso Vehicular'!A77</f>
        <v>100</v>
      </c>
      <c r="F197" s="185">
        <f>'Acceso Vehicular'!E77</f>
        <v>2.2000000000000002</v>
      </c>
      <c r="G197" s="186">
        <f t="shared" si="7"/>
        <v>220</v>
      </c>
      <c r="H197" s="187">
        <f>'Acceso Vehicular'!J77</f>
        <v>0</v>
      </c>
      <c r="I197" s="186">
        <f>'Acceso Vehicular'!K77</f>
        <v>0</v>
      </c>
    </row>
    <row r="198" spans="1:9" x14ac:dyDescent="0.25">
      <c r="B198" s="203" t="s">
        <v>570</v>
      </c>
      <c r="C198" s="184" t="str">
        <f>'Acceso Vehicular'!C78</f>
        <v>Suministro e instalación de tubo acero indicado para instalaciones exteriores de enlace y acometidas, de diámetro 32 mm, Instalado en superficie sobre paramentos mediante soportes de tipo abrazadera separados cada 50 cm como máximo. Totalmente montado; i/p.p. de anclajes y accesorios.</v>
      </c>
      <c r="D198" t="s">
        <v>33</v>
      </c>
      <c r="E198" s="148">
        <f>'Acceso Vehicular'!A78</f>
        <v>50</v>
      </c>
      <c r="F198" s="185">
        <f>'Acceso Vehicular'!E78</f>
        <v>12.95</v>
      </c>
      <c r="G198" s="186">
        <f t="shared" si="7"/>
        <v>647.5</v>
      </c>
      <c r="H198" s="187">
        <f>'Acceso Vehicular'!J78</f>
        <v>0</v>
      </c>
      <c r="I198" s="186">
        <f>'Acceso Vehicular'!K78</f>
        <v>0</v>
      </c>
    </row>
    <row r="199" spans="1:9" x14ac:dyDescent="0.25">
      <c r="B199" s="203" t="s">
        <v>571</v>
      </c>
      <c r="C199" s="184" t="str">
        <f>'Acceso Vehicular'!C79</f>
        <v xml:space="preserve">Conector blindado macho RJ45 CAT6A. Modelo DRP10, de 8 vías Amphenol Communications Solutions. El diseño facilita el montaje y el desmontaje. Su construcción robusta garantiza un funcionamiento fiable en entornos hostiles. Opciones de salida de cable rectas, de 45 y 90°, para gestionar cables con flexibilidad. Rendimiento de alta velocidad de datos para Ethernet 10 G. Conectores macho IDC con terminación en campo. Construcción metálica para entornos hostiles. Se puede volver a terminar para facilitar la reinstalación. Cable de 24-27 AWG. </v>
      </c>
      <c r="D199" t="s">
        <v>33</v>
      </c>
      <c r="E199" s="148">
        <f>'Acceso Vehicular'!A79</f>
        <v>10</v>
      </c>
      <c r="F199" s="185">
        <f>'Acceso Vehicular'!E79</f>
        <v>9.1</v>
      </c>
      <c r="G199" s="186">
        <f t="shared" si="7"/>
        <v>91</v>
      </c>
      <c r="H199" s="187">
        <f>'Acceso Vehicular'!J79</f>
        <v>0</v>
      </c>
      <c r="I199" s="186">
        <f>'Acceso Vehicular'!K79</f>
        <v>0</v>
      </c>
    </row>
    <row r="200" spans="1:9" x14ac:dyDescent="0.25">
      <c r="B200" s="203" t="s">
        <v>593</v>
      </c>
      <c r="C200" s="184" t="str">
        <f>'Acceso Vehicular'!C80</f>
        <v>Latiguillo de 4 pares RJ45-RJ45 de Categoría 6a sin apantallar diseño UTP para transmisión de datos hasta 1Gigabit Ethernet, diámetro de 6 mm, cubierta libre de halógenos LSZH.Manguito especial transparente, estrecho y pestaña "anti-enganches"</v>
      </c>
      <c r="D200" t="s">
        <v>33</v>
      </c>
      <c r="E200" s="148">
        <f>'Acceso Vehicular'!A80</f>
        <v>5</v>
      </c>
      <c r="F200" s="185">
        <f>'Acceso Vehicular'!E80</f>
        <v>6.15</v>
      </c>
      <c r="G200" s="186">
        <f t="shared" si="7"/>
        <v>30.75</v>
      </c>
      <c r="H200" s="187">
        <f>'Acceso Vehicular'!J80</f>
        <v>0</v>
      </c>
      <c r="I200" s="186">
        <f>'Acceso Vehicular'!K80</f>
        <v>0</v>
      </c>
    </row>
    <row r="201" spans="1:9" x14ac:dyDescent="0.25">
      <c r="B201" s="203" t="s">
        <v>594</v>
      </c>
      <c r="C201" s="184" t="str">
        <f>'Acceso Vehicular'!C82</f>
        <v>Partida de mano de obra para Montaje equipos entrada</v>
      </c>
      <c r="D201" t="s">
        <v>33</v>
      </c>
      <c r="E201" s="148">
        <f>'Acceso Vehicular'!A82</f>
        <v>1</v>
      </c>
      <c r="F201" s="185">
        <f>'Acceso Vehicular'!E82</f>
        <v>3800</v>
      </c>
      <c r="G201" s="186">
        <f t="shared" si="7"/>
        <v>3800</v>
      </c>
      <c r="H201" s="187">
        <f>'Acceso Vehicular'!J82</f>
        <v>0</v>
      </c>
      <c r="I201" s="186">
        <f>'Acceso Vehicular'!K82</f>
        <v>0</v>
      </c>
    </row>
    <row r="202" spans="1:9" x14ac:dyDescent="0.25">
      <c r="B202" s="203" t="s">
        <v>595</v>
      </c>
      <c r="C202" s="184" t="str">
        <f>'Acceso Vehicular'!C83</f>
        <v xml:space="preserve">Partida alzada ayudas auxiliares en equipamiento y mano de obra de instalaciones </v>
      </c>
      <c r="D202" t="s">
        <v>33</v>
      </c>
      <c r="E202" s="148">
        <f>'Acceso Vehicular'!A83</f>
        <v>1</v>
      </c>
      <c r="F202" s="185">
        <f>'Acceso Vehicular'!E83</f>
        <v>360.23220000000003</v>
      </c>
      <c r="G202" s="186">
        <f t="shared" si="7"/>
        <v>360.23</v>
      </c>
      <c r="H202" s="187">
        <f>'Acceso Vehicular'!J83</f>
        <v>0</v>
      </c>
      <c r="I202" s="186">
        <f>'Acceso Vehicular'!K83</f>
        <v>0</v>
      </c>
    </row>
    <row r="203" spans="1:9" x14ac:dyDescent="0.25">
      <c r="B203" s="203" t="s">
        <v>596</v>
      </c>
      <c r="C203" s="184" t="str">
        <f>'Acceso Vehicular'!C84</f>
        <v>Partida alzada ayudas auxiliares en equipamiento y mano de obra de obra civil o albañilería</v>
      </c>
      <c r="D203" t="s">
        <v>33</v>
      </c>
      <c r="E203" s="148">
        <f>'Acceso Vehicular'!A84</f>
        <v>1</v>
      </c>
      <c r="F203" s="185">
        <f>'Acceso Vehicular'!E84</f>
        <v>360.23220000000003</v>
      </c>
      <c r="G203" s="186">
        <f t="shared" si="7"/>
        <v>360.23</v>
      </c>
      <c r="H203" s="187">
        <f>'Acceso Vehicular'!J84</f>
        <v>0</v>
      </c>
      <c r="I203" s="186">
        <f>'Acceso Vehicular'!K84</f>
        <v>0</v>
      </c>
    </row>
    <row r="204" spans="1:9" s="176" customFormat="1" x14ac:dyDescent="0.25">
      <c r="A204" s="176" t="s">
        <v>48</v>
      </c>
      <c r="B204" s="176" t="s">
        <v>35</v>
      </c>
      <c r="C204" s="188" t="s">
        <v>49</v>
      </c>
      <c r="E204" s="173"/>
      <c r="F204" s="174"/>
      <c r="G204" s="186"/>
      <c r="H204" s="189"/>
      <c r="I204" s="175"/>
    </row>
    <row r="205" spans="1:9" s="178" customFormat="1" x14ac:dyDescent="0.25">
      <c r="A205" s="178" t="s">
        <v>385</v>
      </c>
      <c r="B205" s="178" t="s">
        <v>50</v>
      </c>
      <c r="C205" s="179" t="s">
        <v>232</v>
      </c>
      <c r="E205" s="180"/>
      <c r="F205" s="181"/>
      <c r="G205" s="186"/>
      <c r="H205" s="183"/>
      <c r="I205" s="182"/>
    </row>
    <row r="206" spans="1:9" s="178" customFormat="1" x14ac:dyDescent="0.25">
      <c r="B206" t="s">
        <v>384</v>
      </c>
      <c r="C206" s="184" t="str">
        <f>Perimetral!C24</f>
        <v>Cámara domo fija de alto rendimiento con unidad de procesamiento de aprendizaje profundo (DLPU). WDR forense, Lightfinder 2.0 e IR optimizado. Discreta carcasa de exterior resistente al polvo y al vandalismo IK10. Lente varifocal de 3-8 mm P-Iris con zoom y enfoque remotos. Múltiples secuencias configurables individualmente, H.264/H.265 con Zipstream y Motion JPEG. Transmisión de 5 MP en 4:3 hasta 30 fps. Object Analytics, detección de movimiento de video y alarma de manipulación. Audio bidireccional y detección de audio. Entrada digital supervisada/salida digital para manejo de alarmas/eventos. Soporte MQTT. Edge Vault para mayor seguridad cibernética. Interruptor de apertura de caja integrado. Ranura para tarjeta de memoria MicroSD para almacenamiento local. Desarrollado por IEEE 802.3af/802.3at Tipo 1 Clase 3. Rango de temperatura extendido. Incluye soporte de montaje y protección contra la intemperie. IP 66.</v>
      </c>
      <c r="D206" t="s">
        <v>33</v>
      </c>
      <c r="E206" s="148">
        <f>Perimetral!A24</f>
        <v>101</v>
      </c>
      <c r="F206" s="185">
        <f>Perimetral!E24</f>
        <v>977</v>
      </c>
      <c r="G206" s="186">
        <f t="shared" ref="G206:G245" si="8">ROUND(F206*E206,2)</f>
        <v>98677</v>
      </c>
      <c r="H206" s="187">
        <f>Perimetral!J24</f>
        <v>0</v>
      </c>
      <c r="I206" s="186">
        <f>Perimetral!K24</f>
        <v>0</v>
      </c>
    </row>
    <row r="207" spans="1:9" s="178" customFormat="1" x14ac:dyDescent="0.25">
      <c r="B207" t="s">
        <v>386</v>
      </c>
      <c r="C207" s="184" t="str">
        <f>Perimetral!C25</f>
        <v xml:space="preserve">Accesorio para montaje en poste T91B47 para instalaciones en interiores y exteriores, para postes con un diámetro de entre 100 y 410 mm (4"-16"). Incluye 1 par de correas de acero inoxidable de 1450 mm (57") con interfaz de tornillo TX30 para facilitar la instalación. </v>
      </c>
      <c r="D207" t="s">
        <v>33</v>
      </c>
      <c r="E207" s="148">
        <f>Perimetral!A25</f>
        <v>92</v>
      </c>
      <c r="F207" s="185">
        <f>Perimetral!E25</f>
        <v>101</v>
      </c>
      <c r="G207" s="186">
        <f t="shared" ref="G207:G227" si="9">ROUND(F207*E207,2)</f>
        <v>9292</v>
      </c>
      <c r="H207" s="187">
        <f>Perimetral!J25</f>
        <v>0</v>
      </c>
      <c r="I207" s="186">
        <f>Perimetral!K25</f>
        <v>0</v>
      </c>
    </row>
    <row r="208" spans="1:9" s="178" customFormat="1" x14ac:dyDescent="0.25">
      <c r="B208" t="s">
        <v>533</v>
      </c>
      <c r="C208" s="184" t="str">
        <f>Perimetral!C26</f>
        <v>BRAZO-DOMO-500-GRIS Soporte de 500mm acero galvanizado para instalación de cámara en báculo, pared, vallado de color gris.</v>
      </c>
      <c r="D208" t="s">
        <v>33</v>
      </c>
      <c r="E208" s="148">
        <f>Perimetral!A26</f>
        <v>15</v>
      </c>
      <c r="F208" s="185">
        <f>Perimetral!E26</f>
        <v>39</v>
      </c>
      <c r="G208" s="186">
        <f t="shared" si="9"/>
        <v>585</v>
      </c>
      <c r="H208" s="187">
        <f>Perimetral!J26</f>
        <v>0</v>
      </c>
      <c r="I208" s="186">
        <f>Perimetral!K26</f>
        <v>0</v>
      </c>
    </row>
    <row r="209" spans="2:9" s="178" customFormat="1" x14ac:dyDescent="0.25">
      <c r="B209" t="s">
        <v>387</v>
      </c>
      <c r="C209" s="184" t="str">
        <f>Perimetral!C27</f>
        <v>Cámara Doble óptica Panoramic CameraSensor dual con IR de 360° y deep learning Cámara multidireccional de 2 x 5 MP y con una dirección IP. Soporte para analíticas con deep learning en ambos sensores. Iluminación de infrarrojos de 360°
Zoom de 2,5x. Axis Lightfinder y Forensic WDR</v>
      </c>
      <c r="D209" t="s">
        <v>33</v>
      </c>
      <c r="E209" s="148">
        <f>Perimetral!A27</f>
        <v>2</v>
      </c>
      <c r="F209" s="185">
        <f>Perimetral!E27</f>
        <v>1099</v>
      </c>
      <c r="G209" s="186">
        <f t="shared" si="9"/>
        <v>2198</v>
      </c>
      <c r="H209" s="187">
        <f>Perimetral!J27</f>
        <v>0</v>
      </c>
      <c r="I209" s="186">
        <f>Perimetral!K27</f>
        <v>0</v>
      </c>
    </row>
    <row r="210" spans="2:9" s="178" customFormat="1" x14ac:dyDescent="0.25">
      <c r="B210" t="s">
        <v>388</v>
      </c>
      <c r="C210" s="184" t="str">
        <f>Perimetral!C28</f>
        <v>AXIS T94N02D Pendant Kit
Uso en interior y exterior. Se adapta a postes, parapetos y esquinas exteriores. Para montaje en soportes con rosca NPS de 1,5".</v>
      </c>
      <c r="D210" t="s">
        <v>33</v>
      </c>
      <c r="E210" s="148">
        <f>Perimetral!A28</f>
        <v>2</v>
      </c>
      <c r="F210" s="185">
        <f>Perimetral!E28</f>
        <v>69</v>
      </c>
      <c r="G210" s="186">
        <f t="shared" si="9"/>
        <v>138</v>
      </c>
      <c r="H210" s="187">
        <f>Perimetral!J28</f>
        <v>0</v>
      </c>
      <c r="I210" s="186">
        <f>Perimetral!K28</f>
        <v>0</v>
      </c>
    </row>
    <row r="211" spans="2:9" s="178" customFormat="1" x14ac:dyDescent="0.25">
      <c r="B211" t="s">
        <v>389</v>
      </c>
      <c r="C211" s="184" t="str">
        <f>Perimetral!C29</f>
        <v xml:space="preserve">AXIS T91B67 Pole Mount. Instalación en poste para cámaras domo fijas. Instalación en poste sólida y segura. Para uso en interiores y en exteriores. Resistente a los impactos para evitar agresiones
Junta de goma que evita las plagas de insectos. Compatible con los kits para montaje colgante de Axis con rosca NPS de 1,5”. </v>
      </c>
      <c r="D211" t="s">
        <v>33</v>
      </c>
      <c r="E211" s="148">
        <f>Perimetral!A29</f>
        <v>2</v>
      </c>
      <c r="F211" s="185">
        <f>Perimetral!E29</f>
        <v>109</v>
      </c>
      <c r="G211" s="186">
        <f t="shared" si="9"/>
        <v>218</v>
      </c>
      <c r="H211" s="187">
        <f>Perimetral!J29</f>
        <v>0</v>
      </c>
      <c r="I211" s="186">
        <f>Perimetral!K29</f>
        <v>0</v>
      </c>
    </row>
    <row r="212" spans="2:9" s="178" customFormat="1" x14ac:dyDescent="0.25">
      <c r="B212" t="s">
        <v>390</v>
      </c>
      <c r="C212" s="184" t="str">
        <f>Perimetral!C30</f>
        <v>Suministro y montaje de cámara IP térmica de alta sensibilidad para uso exterior con sensor de 384x288, la imagen puede ampliarse hasta 768x576, soporte y adaptador para montaje en báculo.</v>
      </c>
      <c r="D212" t="s">
        <v>33</v>
      </c>
      <c r="E212" s="148">
        <f>Perimetral!A30</f>
        <v>27</v>
      </c>
      <c r="F212" s="185">
        <f>Perimetral!E30</f>
        <v>3089</v>
      </c>
      <c r="G212" s="186">
        <f t="shared" si="9"/>
        <v>83403</v>
      </c>
      <c r="H212" s="187">
        <f>Perimetral!J30</f>
        <v>0</v>
      </c>
      <c r="I212" s="186">
        <f>Perimetral!K30</f>
        <v>0</v>
      </c>
    </row>
    <row r="213" spans="2:9" s="178" customFormat="1" x14ac:dyDescent="0.25">
      <c r="B213" t="s">
        <v>391</v>
      </c>
      <c r="C213" s="184" t="str">
        <f>Perimetral!C31</f>
        <v xml:space="preserve">Accesorio para montaje en poste T91B47 para instalaciones en interiores y exteriores, para postes con un diámetro de entre 100 y 410 mm (4"-16"). Incluye 1 par de correas de acero inoxidable de 1450 mm (57") con interfaz de tornillo TX30 para facilitar la instalación. </v>
      </c>
      <c r="D213" t="s">
        <v>33</v>
      </c>
      <c r="E213" s="148">
        <f>Perimetral!A31</f>
        <v>27</v>
      </c>
      <c r="F213" s="185">
        <f>Perimetral!E31</f>
        <v>92</v>
      </c>
      <c r="G213" s="186">
        <f t="shared" si="9"/>
        <v>2484</v>
      </c>
      <c r="H213" s="187">
        <f>Perimetral!J31</f>
        <v>0</v>
      </c>
      <c r="I213" s="186">
        <f>Perimetral!K31</f>
        <v>0</v>
      </c>
    </row>
    <row r="214" spans="2:9" x14ac:dyDescent="0.25">
      <c r="B214" t="s">
        <v>392</v>
      </c>
      <c r="C214" s="184" t="str">
        <f>Perimetral!C32</f>
        <v>Cámara PTZ con giro continuo de 360° e iluminación IR integrada (200 M) con zoom óptico de 32x, enfoque automático y recuperación de enfoque. HDTV 1080p a 50 fps (1920 x 1080) en Motion JPEG, H.264, H.265 y Axis Zipstream. Clasificación Día y Noche, IP66, NEMA 4X y NEMA TS2. Ranura para tarjeta SD de tamaño completo.
Calidad de imagen perfecta en todas las direcciones sin distorsión. WDR, EIS, secado rápido. Incluye control de acceso avanzado y análisis. Superficie repintable. Midspan con ranura para fibra y entrada RJ45 incluida.</v>
      </c>
      <c r="D214" t="s">
        <v>33</v>
      </c>
      <c r="E214" s="148">
        <f>Perimetral!A32</f>
        <v>11</v>
      </c>
      <c r="F214" s="185">
        <f>Perimetral!E32</f>
        <v>2728</v>
      </c>
      <c r="G214" s="186">
        <f t="shared" si="9"/>
        <v>30008</v>
      </c>
      <c r="H214" s="187">
        <f>Perimetral!J32</f>
        <v>0</v>
      </c>
      <c r="I214" s="186">
        <f>Perimetral!K32</f>
        <v>0</v>
      </c>
    </row>
    <row r="215" spans="2:9" x14ac:dyDescent="0.25">
      <c r="B215" t="s">
        <v>393</v>
      </c>
      <c r="C215" s="184" t="str">
        <f>Perimetral!C33</f>
        <v xml:space="preserve">Accesorio montaje báculo Domo. </v>
      </c>
      <c r="D215" t="s">
        <v>33</v>
      </c>
      <c r="E215" s="148">
        <f>Perimetral!A33</f>
        <v>11</v>
      </c>
      <c r="F215" s="185">
        <f>Perimetral!E33</f>
        <v>133</v>
      </c>
      <c r="G215" s="186">
        <f t="shared" si="9"/>
        <v>1463</v>
      </c>
      <c r="H215" s="187">
        <f>Perimetral!J33</f>
        <v>0</v>
      </c>
      <c r="I215" s="186">
        <f>Perimetral!K33</f>
        <v>0</v>
      </c>
    </row>
    <row r="216" spans="2:9" x14ac:dyDescent="0.25">
      <c r="B216" t="s">
        <v>394</v>
      </c>
      <c r="C216" s="184" t="str">
        <f>Perimetral!C34</f>
        <v xml:space="preserve">Accesorio montaje Domo. </v>
      </c>
      <c r="D216" t="s">
        <v>33</v>
      </c>
      <c r="E216" s="148">
        <f>Perimetral!A34</f>
        <v>11</v>
      </c>
      <c r="F216" s="185">
        <f>Perimetral!E34</f>
        <v>133</v>
      </c>
      <c r="G216" s="186">
        <f t="shared" si="9"/>
        <v>1463</v>
      </c>
      <c r="H216" s="187">
        <f>Perimetral!J34</f>
        <v>0</v>
      </c>
      <c r="I216" s="186">
        <f>Perimetral!K34</f>
        <v>0</v>
      </c>
    </row>
    <row r="217" spans="2:9" x14ac:dyDescent="0.25">
      <c r="B217" t="s">
        <v>395</v>
      </c>
      <c r="C217" s="184" t="str">
        <f>Perimetral!C35</f>
        <v>Accesorio para montaje en báculo y pared de Domo</v>
      </c>
      <c r="D217" t="s">
        <v>33</v>
      </c>
      <c r="E217" s="148">
        <f>Perimetral!A35</f>
        <v>11</v>
      </c>
      <c r="F217" s="185">
        <f>Perimetral!E35</f>
        <v>164</v>
      </c>
      <c r="G217" s="186">
        <f t="shared" si="9"/>
        <v>1804</v>
      </c>
      <c r="H217" s="187">
        <f>Perimetral!J35</f>
        <v>0</v>
      </c>
      <c r="I217" s="186">
        <f>Perimetral!K35</f>
        <v>0</v>
      </c>
    </row>
    <row r="218" spans="2:9" x14ac:dyDescent="0.25">
      <c r="B218" t="s">
        <v>396</v>
      </c>
      <c r="C218" s="184" t="str">
        <f>Perimetral!C36</f>
        <v>Cámara Multidireccional  Inteligencia Artificial. Dual Sensor, 2 x 2MP@25/30fps, 360º, LEDS IR 25m. Lente varifocal motorizada 3~6mm, WiseNR II, WiseStream III, ExtremeWDR (120dB), Hallway, Detección de Objetos basada en Inteligencia Artificial: Persona, Cara, Vehículo, Matrícula más atributos del vehículo (Coche, Autobus, Moto, Bicicleta, Camión). Analíticas: Línea virtual, Área Virtual/Intrusión, Detección de Movimiento. Desenfoque, Sabotaje. Slot SD 512GB, PoE+. Ciberseguridad: Secure by Default, TPM 2.0 (FIPS 140-2). IP66, NEMA4X, IK10. Compatible con SPM-4210 I/O IP Box para entradas/salidas de alarmas/audio</v>
      </c>
      <c r="D218" t="s">
        <v>33</v>
      </c>
      <c r="E218" s="148">
        <f>Perimetral!A36</f>
        <v>19</v>
      </c>
      <c r="F218" s="185">
        <f>Perimetral!E36</f>
        <v>1226</v>
      </c>
      <c r="G218" s="186">
        <f t="shared" si="9"/>
        <v>23294</v>
      </c>
      <c r="H218" s="187">
        <f>Perimetral!J36</f>
        <v>0</v>
      </c>
      <c r="I218" s="186">
        <f>Perimetral!K36</f>
        <v>0</v>
      </c>
    </row>
    <row r="219" spans="2:9" x14ac:dyDescent="0.25">
      <c r="B219" t="s">
        <v>397</v>
      </c>
      <c r="C219" s="184" t="str">
        <f>Perimetral!C37</f>
        <v>Adaptador montaje colgante para utilizar con PNM-C7083RVD</v>
      </c>
      <c r="D219" t="s">
        <v>33</v>
      </c>
      <c r="E219" s="148">
        <f>Perimetral!A37</f>
        <v>19</v>
      </c>
      <c r="F219" s="185">
        <f>Perimetral!E37</f>
        <v>31.75</v>
      </c>
      <c r="G219" s="186">
        <f t="shared" si="9"/>
        <v>603.25</v>
      </c>
      <c r="H219" s="187">
        <f>Perimetral!J37</f>
        <v>0</v>
      </c>
      <c r="I219" s="186">
        <f>Perimetral!K37</f>
        <v>0</v>
      </c>
    </row>
    <row r="220" spans="2:9" x14ac:dyDescent="0.25">
      <c r="B220" t="s">
        <v>398</v>
      </c>
      <c r="C220" s="184" t="str">
        <f>Perimetral!C38</f>
        <v>Soporte a pared para domos de exterior. Blanco</v>
      </c>
      <c r="D220" t="s">
        <v>33</v>
      </c>
      <c r="E220" s="148">
        <f>Perimetral!A38</f>
        <v>19</v>
      </c>
      <c r="F220" s="185">
        <f>Perimetral!E38</f>
        <v>44.44</v>
      </c>
      <c r="G220" s="186">
        <f t="shared" si="9"/>
        <v>844.36</v>
      </c>
      <c r="H220" s="187">
        <f>Perimetral!J38</f>
        <v>0</v>
      </c>
      <c r="I220" s="186">
        <f>Perimetral!K38</f>
        <v>0</v>
      </c>
    </row>
    <row r="221" spans="2:9" x14ac:dyDescent="0.25">
      <c r="B221" t="s">
        <v>399</v>
      </c>
      <c r="C221" s="184" t="str">
        <f>Perimetral!C39</f>
        <v>Cámara 180° Panoramic Camera, cobertura de 180°, sin puntos ciegos. Cámara multisensor de 7 MP con una dirección IP
Cobertura de 180° en horizontal y 90° en vertical. Imágenes unidas de manera realista. Compatibilidad con analíticas avanzadas
Enderezamiento del horizonte.</v>
      </c>
      <c r="D221" t="s">
        <v>33</v>
      </c>
      <c r="E221" s="148">
        <f>Perimetral!A39</f>
        <v>2</v>
      </c>
      <c r="F221" s="185">
        <f>Perimetral!E39</f>
        <v>1499</v>
      </c>
      <c r="G221" s="186">
        <f t="shared" si="9"/>
        <v>2998</v>
      </c>
      <c r="H221" s="187">
        <f>Perimetral!J39</f>
        <v>0</v>
      </c>
      <c r="I221" s="186">
        <f>Perimetral!K39</f>
        <v>0</v>
      </c>
    </row>
    <row r="222" spans="2:9" x14ac:dyDescent="0.25">
      <c r="B222" t="s">
        <v>534</v>
      </c>
      <c r="C222" s="184" t="str">
        <f>Perimetral!C40</f>
        <v xml:space="preserve">Accesorio para montaje en poste T91B47 para instalaciones en interiores y exteriores, para postes con un diámetro de entre 100 y 410 mm (4"-16"). Incluye 1 par de correas de acero inoxidable de 1450 mm (57") con interfaz de tornillo TX30 para facilitar la instalación. </v>
      </c>
      <c r="D222" t="s">
        <v>33</v>
      </c>
      <c r="E222" s="148">
        <f>Perimetral!A40</f>
        <v>2</v>
      </c>
      <c r="F222" s="185">
        <f>Perimetral!E40</f>
        <v>92</v>
      </c>
      <c r="G222" s="186">
        <f t="shared" si="9"/>
        <v>184</v>
      </c>
      <c r="H222" s="187">
        <f>Perimetral!J40</f>
        <v>0</v>
      </c>
      <c r="I222" s="186">
        <f>Perimetral!K40</f>
        <v>0</v>
      </c>
    </row>
    <row r="223" spans="2:9" x14ac:dyDescent="0.25">
      <c r="B223" t="s">
        <v>535</v>
      </c>
      <c r="C223" s="184" t="str">
        <f>Perimetral!C41</f>
        <v xml:space="preserve">Conector blindado macho RJ45 CAT6A. Modelo DRP10, de 8 vías Amphenol Communications Solutions. El diseño facilita el montaje y el desmontaje. Su construcción robusta garantiza un funcionamiento fiable en entornos hostiles. Opciones de salida de cable rectas, de 45 y 90°, para gestionar cables con flexibilidad. Rendimiento de alta velocidad de datos para Ethernet 10 G. Conectores macho IDC con terminación en campo. Construcción metálica para entornos hostiles. Se puede volver a terminar para facilitar la reinstalación. Cable de 24-27 AWG. </v>
      </c>
      <c r="D223" t="s">
        <v>33</v>
      </c>
      <c r="E223" s="148">
        <f>Perimetral!A41</f>
        <v>324</v>
      </c>
      <c r="F223" s="185">
        <f>Perimetral!E41</f>
        <v>9.1</v>
      </c>
      <c r="G223" s="186">
        <f t="shared" si="9"/>
        <v>2948.4</v>
      </c>
      <c r="H223" s="187">
        <f>Perimetral!J41</f>
        <v>0</v>
      </c>
      <c r="I223" s="186">
        <f>Perimetral!K41</f>
        <v>0</v>
      </c>
    </row>
    <row r="224" spans="2:9" x14ac:dyDescent="0.25">
      <c r="B224" t="s">
        <v>536</v>
      </c>
      <c r="C224" s="184" t="str">
        <f>Perimetral!C42</f>
        <v>Latiguillo de 4 pares RJ45-RJ45 de Categoría 6a sin apantallar diseño UTP para transmisión de datos hasta 1Gigabit Ethernet, diámetro de 6 mm, cubierta libre de halógenos LSZH.Manguito especial transparente, estrecho y pestaña "anti-enganches"</v>
      </c>
      <c r="D224" t="s">
        <v>33</v>
      </c>
      <c r="E224" s="148">
        <f>Perimetral!A42</f>
        <v>162</v>
      </c>
      <c r="F224" s="185">
        <f>Perimetral!E42</f>
        <v>6.15</v>
      </c>
      <c r="G224" s="186">
        <f t="shared" si="9"/>
        <v>996.3</v>
      </c>
      <c r="H224" s="187">
        <f>Perimetral!J42</f>
        <v>0</v>
      </c>
      <c r="I224" s="186">
        <f>Perimetral!K42</f>
        <v>0</v>
      </c>
    </row>
    <row r="225" spans="1:9" x14ac:dyDescent="0.25">
      <c r="B225" t="s">
        <v>537</v>
      </c>
      <c r="C225" s="184" t="str">
        <f>Perimetral!C44</f>
        <v>Partida de mano de obra para montaje de equipos perimetral</v>
      </c>
      <c r="D225" t="s">
        <v>33</v>
      </c>
      <c r="E225" s="148">
        <f>Perimetral!A44</f>
        <v>162</v>
      </c>
      <c r="F225" s="185">
        <f>Perimetral!E44</f>
        <v>66</v>
      </c>
      <c r="G225" s="186">
        <f t="shared" si="9"/>
        <v>10692</v>
      </c>
      <c r="H225" s="187">
        <f>Perimetral!J44</f>
        <v>0</v>
      </c>
      <c r="I225" s="186">
        <f>Perimetral!K44</f>
        <v>0</v>
      </c>
    </row>
    <row r="226" spans="1:9" x14ac:dyDescent="0.25">
      <c r="B226" t="s">
        <v>538</v>
      </c>
      <c r="C226" s="184" t="str">
        <f>Perimetral!C45</f>
        <v xml:space="preserve">Partida alzada ayudas auxiliares en equipamiento y mano de obra de instalaciones </v>
      </c>
      <c r="D226" t="s">
        <v>33</v>
      </c>
      <c r="E226" s="148">
        <f>Perimetral!A45</f>
        <v>1</v>
      </c>
      <c r="F226" s="185">
        <f>Perimetral!E45</f>
        <v>3330.3155000000002</v>
      </c>
      <c r="G226" s="186">
        <f t="shared" si="9"/>
        <v>3330.32</v>
      </c>
      <c r="H226" s="187">
        <f>Perimetral!J45</f>
        <v>3330.3155000000002</v>
      </c>
      <c r="I226" s="186">
        <f>Perimetral!K45</f>
        <v>3330.32</v>
      </c>
    </row>
    <row r="227" spans="1:9" x14ac:dyDescent="0.25">
      <c r="B227" t="s">
        <v>597</v>
      </c>
      <c r="C227" s="184" t="str">
        <f>Perimetral!C46</f>
        <v>Partida alzada ayudas auxiliares en equipamiento y mano de obra de obra civil o albañilería</v>
      </c>
      <c r="D227" t="s">
        <v>33</v>
      </c>
      <c r="E227" s="148">
        <f>Perimetral!A46</f>
        <v>1</v>
      </c>
      <c r="F227" s="185">
        <f>Perimetral!E46</f>
        <v>3330.3155000000002</v>
      </c>
      <c r="G227" s="186">
        <f t="shared" si="9"/>
        <v>3330.32</v>
      </c>
      <c r="H227" s="187">
        <f>Perimetral!J46</f>
        <v>3330.3155000000002</v>
      </c>
      <c r="I227" s="186">
        <f>Perimetral!K46</f>
        <v>3330.32</v>
      </c>
    </row>
    <row r="228" spans="1:9" s="178" customFormat="1" x14ac:dyDescent="0.25">
      <c r="A228" s="178" t="s">
        <v>401</v>
      </c>
      <c r="B228" s="178" t="s">
        <v>400</v>
      </c>
      <c r="C228" s="179" t="s">
        <v>254</v>
      </c>
      <c r="E228" s="180"/>
      <c r="F228" s="181"/>
      <c r="G228" s="186"/>
      <c r="H228" s="183"/>
      <c r="I228" s="182"/>
    </row>
    <row r="229" spans="1:9" x14ac:dyDescent="0.25">
      <c r="B229" t="s">
        <v>402</v>
      </c>
      <c r="C229" s="184" t="str">
        <f>Perimetral!C51</f>
        <v>Sensor LiDAR 20x20m 95º y cámara IR</v>
      </c>
      <c r="D229" t="s">
        <v>33</v>
      </c>
      <c r="E229" s="148">
        <f>Perimetral!A51</f>
        <v>4</v>
      </c>
      <c r="F229" s="185">
        <f>Perimetral!E51</f>
        <v>3399</v>
      </c>
      <c r="G229" s="186">
        <f t="shared" si="8"/>
        <v>13596</v>
      </c>
      <c r="H229" s="187">
        <f>Perimetral!J51</f>
        <v>0</v>
      </c>
      <c r="I229" s="186">
        <f>Perimetral!K51</f>
        <v>0</v>
      </c>
    </row>
    <row r="230" spans="1:9" x14ac:dyDescent="0.25">
      <c r="B230" t="s">
        <v>403</v>
      </c>
      <c r="C230" s="184" t="str">
        <f>Perimetral!C52</f>
        <v>Adaptador montaje para RLS-2020A/V</v>
      </c>
      <c r="D230" t="s">
        <v>33</v>
      </c>
      <c r="E230" s="148">
        <f>Perimetral!A52</f>
        <v>4</v>
      </c>
      <c r="F230" s="185">
        <f>Perimetral!E52</f>
        <v>231</v>
      </c>
      <c r="G230" s="186">
        <f t="shared" ref="G230:G235" si="10">ROUND(F230*E230,2)</f>
        <v>924</v>
      </c>
      <c r="H230" s="187">
        <f>Perimetral!J52</f>
        <v>0</v>
      </c>
      <c r="I230" s="186">
        <f>Perimetral!K52</f>
        <v>0</v>
      </c>
    </row>
    <row r="231" spans="1:9" x14ac:dyDescent="0.25">
      <c r="B231" t="s">
        <v>404</v>
      </c>
      <c r="C231" s="184" t="str">
        <f>Perimetral!C53</f>
        <v>Detector de cortina láser</v>
      </c>
      <c r="D231" t="s">
        <v>33</v>
      </c>
      <c r="E231" s="148">
        <f>Perimetral!A53</f>
        <v>1</v>
      </c>
      <c r="F231" s="185">
        <f>Perimetral!E53</f>
        <v>114</v>
      </c>
      <c r="G231" s="186">
        <f t="shared" si="10"/>
        <v>114</v>
      </c>
      <c r="H231" s="187">
        <f>Perimetral!J53</f>
        <v>0</v>
      </c>
      <c r="I231" s="186">
        <f>Perimetral!K53</f>
        <v>0</v>
      </c>
    </row>
    <row r="232" spans="1:9" x14ac:dyDescent="0.25">
      <c r="B232" t="s">
        <v>405</v>
      </c>
      <c r="C232" s="184" t="str">
        <f>Perimetral!C54</f>
        <v xml:space="preserve">Conector blindado macho RJ45 CAT6A. Modelo DRP10, de 8 vías Amphenol Communications Solutions. El diseño facilita el montaje y el desmontaje. Su construcción robusta garantiza un funcionamiento fiable en entornos hostiles. Opciones de salida de cable rectas, de 45 y 90°, para gestionar cables con flexibilidad. Rendimiento de alta velocidad de datos para Ethernet 10 G. Conectores macho IDC con terminación en campo. Construcción metálica para entornos hostiles. Se puede volver a terminar para facilitar la reinstalación. Cable de 24-27 AWG. </v>
      </c>
      <c r="D232" t="s">
        <v>33</v>
      </c>
      <c r="E232" s="148">
        <f>Perimetral!A54</f>
        <v>8</v>
      </c>
      <c r="F232" s="185">
        <f>Perimetral!E54</f>
        <v>9.1</v>
      </c>
      <c r="G232" s="186">
        <f t="shared" si="10"/>
        <v>72.8</v>
      </c>
      <c r="H232" s="187">
        <f>Perimetral!J54</f>
        <v>0</v>
      </c>
      <c r="I232" s="186">
        <f>Perimetral!K54</f>
        <v>0</v>
      </c>
    </row>
    <row r="233" spans="1:9" x14ac:dyDescent="0.25">
      <c r="B233" t="s">
        <v>406</v>
      </c>
      <c r="C233" s="184" t="str">
        <f>Perimetral!C56</f>
        <v>Partida de mano de obra para montaje de equipos lidar</v>
      </c>
      <c r="D233" t="s">
        <v>33</v>
      </c>
      <c r="E233" s="148">
        <f>Perimetral!A56</f>
        <v>4</v>
      </c>
      <c r="F233" s="185">
        <f>Perimetral!E56</f>
        <v>66</v>
      </c>
      <c r="G233" s="186">
        <f t="shared" si="10"/>
        <v>264</v>
      </c>
      <c r="H233" s="187">
        <f>Perimetral!J56</f>
        <v>0</v>
      </c>
      <c r="I233" s="186">
        <f>Perimetral!K56</f>
        <v>0</v>
      </c>
    </row>
    <row r="234" spans="1:9" x14ac:dyDescent="0.25">
      <c r="B234" t="s">
        <v>407</v>
      </c>
      <c r="C234" s="184" t="str">
        <f>Perimetral!C57</f>
        <v xml:space="preserve">Partida alzada ayudas auxiliares en equipamiento y mano de obra de instalaciones </v>
      </c>
      <c r="D234" t="s">
        <v>33</v>
      </c>
      <c r="E234" s="148">
        <f>Perimetral!A57</f>
        <v>1</v>
      </c>
      <c r="F234" s="185">
        <f>Perimetral!E57</f>
        <v>735.34</v>
      </c>
      <c r="G234" s="186">
        <f t="shared" si="10"/>
        <v>735.34</v>
      </c>
      <c r="H234" s="187">
        <f>Perimetral!J57</f>
        <v>735.34</v>
      </c>
      <c r="I234" s="186">
        <f>Perimetral!K57</f>
        <v>735.34</v>
      </c>
    </row>
    <row r="235" spans="1:9" x14ac:dyDescent="0.25">
      <c r="B235" t="s">
        <v>598</v>
      </c>
      <c r="C235" s="184" t="str">
        <f>Perimetral!C58</f>
        <v>Partida alzada ayudas auxiliares en equipamiento y mano de obra de obra civil o albañilería</v>
      </c>
      <c r="D235" t="s">
        <v>33</v>
      </c>
      <c r="E235" s="148">
        <f>Perimetral!A58</f>
        <v>1</v>
      </c>
      <c r="F235" s="185">
        <f>Perimetral!E58</f>
        <v>735.34</v>
      </c>
      <c r="G235" s="186">
        <f t="shared" si="10"/>
        <v>735.34</v>
      </c>
      <c r="H235" s="187">
        <f>Perimetral!J58</f>
        <v>735.34</v>
      </c>
      <c r="I235" s="186">
        <f>Perimetral!K58</f>
        <v>735.34</v>
      </c>
    </row>
    <row r="236" spans="1:9" s="178" customFormat="1" x14ac:dyDescent="0.25">
      <c r="A236" s="178" t="s">
        <v>412</v>
      </c>
      <c r="B236" s="178" t="s">
        <v>408</v>
      </c>
      <c r="C236" s="179" t="s">
        <v>263</v>
      </c>
      <c r="E236" s="180"/>
      <c r="F236" s="181"/>
      <c r="G236" s="186"/>
      <c r="H236" s="183"/>
      <c r="I236" s="182"/>
    </row>
    <row r="237" spans="1:9" x14ac:dyDescent="0.25">
      <c r="B237" t="s">
        <v>409</v>
      </c>
      <c r="C237" s="184" t="str">
        <f>Perimetral!C63</f>
        <v>Partida mano de obra para configuración analítica de vídeo. 17Cam_T, 2Lidar.</v>
      </c>
      <c r="D237" t="s">
        <v>33</v>
      </c>
      <c r="E237" s="148">
        <f>Perimetral!A63</f>
        <v>27</v>
      </c>
      <c r="F237" s="185">
        <f>Perimetral!E63</f>
        <v>100</v>
      </c>
      <c r="G237" s="186">
        <f t="shared" si="8"/>
        <v>2700</v>
      </c>
      <c r="H237" s="187">
        <f>Perimetral!J63</f>
        <v>100</v>
      </c>
      <c r="I237" s="186">
        <f>Perimetral!K63</f>
        <v>2700</v>
      </c>
    </row>
    <row r="238" spans="1:9" s="178" customFormat="1" x14ac:dyDescent="0.25">
      <c r="A238" s="178" t="s">
        <v>413</v>
      </c>
      <c r="B238" s="178" t="s">
        <v>410</v>
      </c>
      <c r="C238" s="179" t="s">
        <v>265</v>
      </c>
      <c r="E238" s="180"/>
      <c r="F238" s="181"/>
      <c r="G238" s="186"/>
      <c r="H238" s="183"/>
      <c r="I238" s="182"/>
    </row>
    <row r="239" spans="1:9" x14ac:dyDescent="0.25">
      <c r="B239" t="s">
        <v>411</v>
      </c>
      <c r="C239" s="184" t="str">
        <f>Perimetral!C68</f>
        <v>Switch Industrial PoE administrado de capa 3 de enlace ascendente 10G, equipado con 8 puertos 10/100/1000BASE-T Gigabit Ethernet RJ45 con función de inyector IEEE 802.3at PoE+, 2 puertos 100/1000/2500BASE-X mini-GBIC/SFP para detección automática de tipo SFP, 2 puertos 10GBASE-SR/LR SFP+ , compatibles con versiones anteriores de 1000BASE-SX/LX/BX y 2500BASE-X SFP. Carcasa de metal resistente IP30 y un amplio rango de temperatura de -40 a 75 grados</v>
      </c>
      <c r="D239" t="s">
        <v>33</v>
      </c>
      <c r="E239" s="148">
        <f>Perimetral!A68</f>
        <v>25</v>
      </c>
      <c r="F239" s="185">
        <f>Perimetral!E68</f>
        <v>1053.3599999999999</v>
      </c>
      <c r="G239" s="186">
        <f t="shared" si="8"/>
        <v>26334</v>
      </c>
      <c r="H239" s="187">
        <f>Perimetral!J68</f>
        <v>0</v>
      </c>
      <c r="I239" s="186">
        <f>Perimetral!K68</f>
        <v>0</v>
      </c>
    </row>
    <row r="240" spans="1:9" x14ac:dyDescent="0.25">
      <c r="B240" t="s">
        <v>414</v>
      </c>
      <c r="C240" s="184" t="str">
        <f>Perimetral!C69</f>
        <v>Fuente de alimentación de carril DIN de 48 V, 480 W salida de CC ajustable de 48-56 V (-20 ~ 70 grados C)</v>
      </c>
      <c r="D240" t="s">
        <v>33</v>
      </c>
      <c r="E240" s="148">
        <f>Perimetral!A69</f>
        <v>25</v>
      </c>
      <c r="F240" s="185">
        <f>Perimetral!E69</f>
        <v>297</v>
      </c>
      <c r="G240" s="186">
        <f t="shared" si="8"/>
        <v>7425</v>
      </c>
      <c r="H240" s="187">
        <f>Perimetral!J69</f>
        <v>0</v>
      </c>
      <c r="I240" s="186">
        <f>Perimetral!K69</f>
        <v>0</v>
      </c>
    </row>
    <row r="241" spans="2:9" x14ac:dyDescent="0.25">
      <c r="B241" t="s">
        <v>415</v>
      </c>
      <c r="C241" s="184" t="str">
        <f>Perimetral!C70</f>
        <v xml:space="preserve">SFP Midspan 60W. Para instalaciones de red o fibra óptica
Ranura SFP para fibra óptica. Midspan integrado. Compatible con High PoE de 60 W y 60 W IEEE 802.3bt. </v>
      </c>
      <c r="D241" t="s">
        <v>33</v>
      </c>
      <c r="E241" s="148">
        <f>Perimetral!A70</f>
        <v>3</v>
      </c>
      <c r="F241" s="185">
        <f>Perimetral!E70</f>
        <v>209</v>
      </c>
      <c r="G241" s="186">
        <f t="shared" si="8"/>
        <v>627</v>
      </c>
      <c r="H241" s="187">
        <f>Perimetral!J70</f>
        <v>0</v>
      </c>
      <c r="I241" s="186">
        <f>Perimetral!K70</f>
        <v>0</v>
      </c>
    </row>
    <row r="242" spans="2:9" x14ac:dyDescent="0.25">
      <c r="B242" t="s">
        <v>416</v>
      </c>
      <c r="C242" s="184" t="str">
        <f>Perimetral!C71</f>
        <v>Módulo transceptor de fibra óptica 10Gbps SFP+ 10km (-40~75 grados C) MTB-TLR 10000 Mbit/s Single Mode. Un solo conector SC.</v>
      </c>
      <c r="D242" t="s">
        <v>33</v>
      </c>
      <c r="E242" s="148">
        <f>Perimetral!A71</f>
        <v>56</v>
      </c>
      <c r="F242" s="185">
        <f>Perimetral!E71</f>
        <v>60</v>
      </c>
      <c r="G242" s="186">
        <f t="shared" si="8"/>
        <v>3360</v>
      </c>
      <c r="H242" s="187">
        <f>Perimetral!J71</f>
        <v>0</v>
      </c>
      <c r="I242" s="186">
        <f>Perimetral!K71</f>
        <v>0</v>
      </c>
    </row>
    <row r="243" spans="2:9" x14ac:dyDescent="0.25">
      <c r="B243" t="s">
        <v>417</v>
      </c>
      <c r="C243" s="184" t="str">
        <f>Perimetral!C73</f>
        <v>Partida de mano de obra para montaje de equipos perimetrales</v>
      </c>
      <c r="D243" t="s">
        <v>33</v>
      </c>
      <c r="E243" s="148">
        <f>Perimetral!A73</f>
        <v>1</v>
      </c>
      <c r="F243" s="185">
        <f>Perimetral!E73</f>
        <v>1400</v>
      </c>
      <c r="G243" s="186">
        <f t="shared" si="8"/>
        <v>1400</v>
      </c>
      <c r="H243" s="187">
        <f>Perimetral!K73</f>
        <v>0</v>
      </c>
      <c r="I243" s="186">
        <f>Perimetral!J73</f>
        <v>0</v>
      </c>
    </row>
    <row r="244" spans="2:9" x14ac:dyDescent="0.25">
      <c r="B244" t="s">
        <v>418</v>
      </c>
      <c r="C244" s="184" t="str">
        <f>Perimetral!C74</f>
        <v xml:space="preserve">Partida alzada ayudas auxiliares en equipamiento y mano de obra de instalaciones </v>
      </c>
      <c r="D244" t="s">
        <v>33</v>
      </c>
      <c r="E244" s="148">
        <f>Perimetral!A74</f>
        <v>1</v>
      </c>
      <c r="F244" s="185">
        <f>Perimetral!E74</f>
        <v>754.92</v>
      </c>
      <c r="G244" s="186">
        <f t="shared" si="8"/>
        <v>754.92</v>
      </c>
      <c r="H244" s="187">
        <f>Perimetral!K74</f>
        <v>754.92</v>
      </c>
      <c r="I244" s="186">
        <f>Perimetral!J74</f>
        <v>754.92</v>
      </c>
    </row>
    <row r="245" spans="2:9" x14ac:dyDescent="0.25">
      <c r="B245" t="s">
        <v>539</v>
      </c>
      <c r="C245" s="184" t="str">
        <f>Perimetral!C75</f>
        <v>Partida alzada ayudas auxiliares en equipamiento y mano de obra de obra civil o albañilería</v>
      </c>
      <c r="D245" t="s">
        <v>33</v>
      </c>
      <c r="E245" s="148">
        <f>Perimetral!A75</f>
        <v>1</v>
      </c>
      <c r="F245" s="185">
        <f>Perimetral!E75</f>
        <v>754.92</v>
      </c>
      <c r="G245" s="186">
        <f t="shared" si="8"/>
        <v>754.92</v>
      </c>
      <c r="H245" s="187">
        <f>Perimetral!K75</f>
        <v>754.92</v>
      </c>
      <c r="I245" s="186">
        <f>Perimetral!J75</f>
        <v>754.92</v>
      </c>
    </row>
    <row r="246" spans="2:9" x14ac:dyDescent="0.25">
      <c r="C246" s="184"/>
      <c r="F246" s="185"/>
      <c r="G246" s="185"/>
    </row>
    <row r="247" spans="2:9" x14ac:dyDescent="0.25">
      <c r="C247" s="184"/>
      <c r="F247" s="185"/>
      <c r="G247" s="185"/>
    </row>
    <row r="248" spans="2:9" x14ac:dyDescent="0.25">
      <c r="C248" s="184"/>
      <c r="F248" s="185"/>
      <c r="G248" s="185"/>
    </row>
    <row r="249" spans="2:9" x14ac:dyDescent="0.25">
      <c r="C249" s="184"/>
      <c r="F249" s="185"/>
      <c r="G249" s="185"/>
    </row>
    <row r="250" spans="2:9" x14ac:dyDescent="0.25">
      <c r="C250" s="184"/>
      <c r="F250" s="185"/>
      <c r="G250" s="185"/>
    </row>
    <row r="251" spans="2:9" x14ac:dyDescent="0.25">
      <c r="C251" s="184"/>
      <c r="F251" s="185"/>
      <c r="G251" s="185"/>
    </row>
    <row r="252" spans="2:9" x14ac:dyDescent="0.25">
      <c r="C252" s="184"/>
      <c r="F252" s="185"/>
      <c r="G252" s="185"/>
    </row>
    <row r="253" spans="2:9" x14ac:dyDescent="0.25">
      <c r="C253" s="184"/>
      <c r="F253" s="185"/>
      <c r="G253" s="185"/>
    </row>
    <row r="254" spans="2:9" x14ac:dyDescent="0.25">
      <c r="C254" s="184"/>
      <c r="F254" s="185"/>
      <c r="G254" s="185"/>
    </row>
    <row r="255" spans="2:9" x14ac:dyDescent="0.25">
      <c r="C255" s="184"/>
      <c r="F255" s="185"/>
      <c r="G255" s="185"/>
    </row>
    <row r="256" spans="2:9" x14ac:dyDescent="0.25">
      <c r="C256" s="184"/>
      <c r="F256" s="185"/>
      <c r="G256" s="185"/>
    </row>
    <row r="257" spans="3:7" x14ac:dyDescent="0.25">
      <c r="C257" s="184"/>
      <c r="F257" s="185"/>
      <c r="G257" s="185"/>
    </row>
    <row r="258" spans="3:7" x14ac:dyDescent="0.25">
      <c r="C258" s="184"/>
      <c r="F258" s="185"/>
      <c r="G258" s="185"/>
    </row>
    <row r="259" spans="3:7" x14ac:dyDescent="0.25">
      <c r="C259" s="184"/>
      <c r="F259" s="185"/>
      <c r="G259" s="185"/>
    </row>
    <row r="260" spans="3:7" x14ac:dyDescent="0.25">
      <c r="C260" s="184"/>
      <c r="F260" s="185"/>
      <c r="G260" s="185"/>
    </row>
    <row r="261" spans="3:7" x14ac:dyDescent="0.25">
      <c r="C261" s="184"/>
      <c r="F261" s="185"/>
      <c r="G261" s="185"/>
    </row>
    <row r="262" spans="3:7" x14ac:dyDescent="0.25">
      <c r="C262" s="184"/>
      <c r="F262" s="185"/>
      <c r="G262" s="185"/>
    </row>
    <row r="263" spans="3:7" x14ac:dyDescent="0.25">
      <c r="C263" s="184"/>
      <c r="F263" s="185"/>
      <c r="G263" s="185"/>
    </row>
    <row r="264" spans="3:7" x14ac:dyDescent="0.25">
      <c r="C264" s="184"/>
      <c r="F264" s="185"/>
      <c r="G264" s="185"/>
    </row>
    <row r="265" spans="3:7" x14ac:dyDescent="0.25">
      <c r="C265" s="184"/>
      <c r="F265" s="185"/>
      <c r="G265" s="185"/>
    </row>
    <row r="266" spans="3:7" x14ac:dyDescent="0.25">
      <c r="C266" s="184"/>
      <c r="F266" s="185"/>
      <c r="G266" s="185"/>
    </row>
    <row r="267" spans="3:7" x14ac:dyDescent="0.25">
      <c r="C267" s="184"/>
      <c r="F267" s="185"/>
      <c r="G267" s="185"/>
    </row>
    <row r="268" spans="3:7" x14ac:dyDescent="0.25">
      <c r="C268" s="184"/>
      <c r="F268" s="185"/>
      <c r="G268" s="185"/>
    </row>
    <row r="269" spans="3:7" x14ac:dyDescent="0.25">
      <c r="C269" s="184"/>
      <c r="F269" s="185"/>
      <c r="G269" s="185"/>
    </row>
    <row r="270" spans="3:7" x14ac:dyDescent="0.25">
      <c r="C270" s="184"/>
      <c r="F270" s="185"/>
      <c r="G270" s="185"/>
    </row>
    <row r="271" spans="3:7" x14ac:dyDescent="0.25">
      <c r="C271" s="184"/>
      <c r="F271" s="185"/>
      <c r="G271" s="185"/>
    </row>
    <row r="272" spans="3:7" x14ac:dyDescent="0.25">
      <c r="C272" s="184"/>
      <c r="F272" s="185"/>
      <c r="G272" s="185"/>
    </row>
    <row r="273" spans="3:7" x14ac:dyDescent="0.25">
      <c r="C273" s="184"/>
      <c r="F273" s="185"/>
      <c r="G273" s="185"/>
    </row>
    <row r="274" spans="3:7" x14ac:dyDescent="0.25">
      <c r="C274" s="184"/>
      <c r="F274" s="185"/>
      <c r="G274" s="185"/>
    </row>
    <row r="275" spans="3:7" x14ac:dyDescent="0.25">
      <c r="C275" s="184"/>
      <c r="F275" s="185"/>
      <c r="G275" s="185"/>
    </row>
    <row r="276" spans="3:7" x14ac:dyDescent="0.25">
      <c r="C276" s="184"/>
      <c r="F276" s="185"/>
      <c r="G276" s="185"/>
    </row>
    <row r="277" spans="3:7" x14ac:dyDescent="0.25">
      <c r="C277" s="184"/>
      <c r="F277" s="185"/>
      <c r="G277" s="185"/>
    </row>
  </sheetData>
  <sheetProtection algorithmName="SHA-512" hashValue="HuR8Q6eVzM7m4/DPgp27CFeF7AsmYJtDYJTXlLP89rFBFJsu6t6KePBkM10vY7gxIX6W6y0LSb6MqM8YOvZGzA==" saltValue="sMd1J88ZSHajSSO2jH+eHA==" spinCount="100000" sheet="1" selectLockedCells="1"/>
  <mergeCells count="8">
    <mergeCell ref="F10:G10"/>
    <mergeCell ref="H10:I10"/>
    <mergeCell ref="A3:C3"/>
    <mergeCell ref="A6:C6"/>
    <mergeCell ref="A8:C8"/>
    <mergeCell ref="E3:G3"/>
    <mergeCell ref="E6:G6"/>
    <mergeCell ref="E8:G8"/>
  </mergeCells>
  <phoneticPr fontId="1" type="noConversion"/>
  <pageMargins left="0.7" right="0.7" top="0.75" bottom="0.75" header="0.3" footer="0.3"/>
  <pageSetup paperSize="9" orientation="portrait" r:id="rId1"/>
  <customProperties>
    <customPr name="_pios_id" r:id="rId2"/>
  </customProperties>
  <ignoredErrors>
    <ignoredError sqref="C14 D15" unlockedFormula="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AE200-D14C-410B-B6BD-ED0B69DEC09E}">
  <dimension ref="A3:M119"/>
  <sheetViews>
    <sheetView showGridLines="0" showRowColHeaders="0" zoomScale="85" zoomScaleNormal="85" workbookViewId="0">
      <selection activeCell="J26" sqref="J26"/>
    </sheetView>
  </sheetViews>
  <sheetFormatPr baseColWidth="10" defaultColWidth="11.5703125" defaultRowHeight="15" x14ac:dyDescent="0.25"/>
  <cols>
    <col min="1" max="1" width="6.5703125" customWidth="1"/>
    <col min="2" max="2" width="3" bestFit="1" customWidth="1"/>
    <col min="3" max="3" width="60" customWidth="1"/>
    <col min="4" max="4" width="24.5703125" customWidth="1"/>
    <col min="5" max="5" width="14.7109375" customWidth="1"/>
    <col min="6" max="6" width="14.5703125" customWidth="1"/>
    <col min="8" max="8" width="6.5703125" customWidth="1"/>
    <col min="9" max="9" width="3" customWidth="1"/>
    <col min="10" max="10" width="61.7109375" customWidth="1"/>
    <col min="11" max="11" width="29.140625" customWidth="1"/>
    <col min="12" max="13" width="14.7109375" customWidth="1"/>
  </cols>
  <sheetData>
    <row r="3" spans="3:12" ht="11.25" customHeight="1" x14ac:dyDescent="0.25">
      <c r="D3" s="225" t="s">
        <v>421</v>
      </c>
      <c r="E3" s="226"/>
      <c r="F3" s="226"/>
      <c r="G3" s="226"/>
      <c r="H3" s="226"/>
      <c r="I3" s="226"/>
      <c r="J3" s="226"/>
      <c r="K3" s="13"/>
      <c r="L3" s="13"/>
    </row>
    <row r="4" spans="3:12" ht="15" customHeight="1" x14ac:dyDescent="0.25">
      <c r="D4" s="225"/>
      <c r="E4" s="226"/>
      <c r="F4" s="226"/>
      <c r="G4" s="226"/>
      <c r="H4" s="226"/>
      <c r="I4" s="226"/>
      <c r="J4" s="226"/>
      <c r="K4" s="13"/>
      <c r="L4" s="13"/>
    </row>
    <row r="5" spans="3:12" ht="9.75" customHeight="1" x14ac:dyDescent="0.25">
      <c r="D5" s="225"/>
      <c r="E5" s="226"/>
      <c r="F5" s="226"/>
      <c r="G5" s="226"/>
      <c r="H5" s="226"/>
      <c r="I5" s="226"/>
      <c r="J5" s="226"/>
      <c r="K5" s="13"/>
      <c r="L5" s="13"/>
    </row>
    <row r="6" spans="3:12" ht="21" customHeight="1" x14ac:dyDescent="0.25">
      <c r="D6" s="225"/>
      <c r="E6" s="226"/>
      <c r="F6" s="226"/>
      <c r="G6" s="226"/>
      <c r="H6" s="226"/>
      <c r="I6" s="226"/>
      <c r="J6" s="226"/>
      <c r="K6" s="13"/>
      <c r="L6" s="13"/>
    </row>
    <row r="7" spans="3:12" ht="24.75" customHeight="1" x14ac:dyDescent="0.25">
      <c r="K7" s="13"/>
      <c r="L7" s="13"/>
    </row>
    <row r="10" spans="3:12" ht="21" x14ac:dyDescent="0.25">
      <c r="C10" s="227" t="s">
        <v>52</v>
      </c>
      <c r="D10" s="228"/>
      <c r="J10" s="227" t="s">
        <v>53</v>
      </c>
      <c r="K10" s="229"/>
    </row>
    <row r="12" spans="3:12" x14ac:dyDescent="0.25">
      <c r="C12" s="14" t="s">
        <v>54</v>
      </c>
      <c r="D12" s="14" t="s">
        <v>55</v>
      </c>
      <c r="J12" s="14" t="s">
        <v>54</v>
      </c>
      <c r="K12" s="14" t="s">
        <v>55</v>
      </c>
    </row>
    <row r="13" spans="3:12" x14ac:dyDescent="0.25">
      <c r="C13" s="15" t="str">
        <f>A22</f>
        <v>1.- Desmontaje</v>
      </c>
      <c r="D13" s="1">
        <f>ROUND(F32,2)</f>
        <v>13210</v>
      </c>
      <c r="J13" s="15" t="str">
        <f>C13</f>
        <v>1.- Desmontaje</v>
      </c>
      <c r="K13" s="1">
        <f>ROUND(K32,2)</f>
        <v>0</v>
      </c>
      <c r="L13" s="2"/>
    </row>
    <row r="14" spans="3:12" x14ac:dyDescent="0.25">
      <c r="C14" s="15" t="str">
        <f>A34</f>
        <v>2.- Instalación de la Infraestructura</v>
      </c>
      <c r="D14" s="1">
        <f>ROUND(F54,2)</f>
        <v>83185.399999999994</v>
      </c>
      <c r="J14" s="15" t="str">
        <f t="shared" ref="J14:J16" si="0">C14</f>
        <v>2.- Instalación de la Infraestructura</v>
      </c>
      <c r="K14" s="3">
        <f>ROUND(K54,2)</f>
        <v>4708.6099999999997</v>
      </c>
      <c r="L14" s="4"/>
    </row>
    <row r="15" spans="3:12" x14ac:dyDescent="0.25">
      <c r="C15" s="15" t="str">
        <f>A56</f>
        <v>3.- Instalación y certificación de cableados</v>
      </c>
      <c r="D15" s="1">
        <f>ROUND(F65,2)</f>
        <v>59428.9</v>
      </c>
      <c r="J15" s="15" t="str">
        <f t="shared" si="0"/>
        <v>3.- Instalación y certificación de cableados</v>
      </c>
      <c r="K15" s="3">
        <f>ROUND(K65,2)</f>
        <v>3363.9</v>
      </c>
      <c r="L15" s="2"/>
    </row>
    <row r="16" spans="3:12" x14ac:dyDescent="0.25">
      <c r="C16" s="15" t="str">
        <f>A67</f>
        <v>4.- Instalación eléctrica</v>
      </c>
      <c r="D16" s="1">
        <f>ROUND(F103,2)</f>
        <v>75076.56</v>
      </c>
      <c r="J16" s="15" t="str">
        <f t="shared" si="0"/>
        <v>4.- Instalación eléctrica</v>
      </c>
      <c r="K16" s="3">
        <f>ROUND(K103,2)</f>
        <v>2887.56</v>
      </c>
      <c r="L16" s="2"/>
    </row>
    <row r="17" spans="1:12" x14ac:dyDescent="0.25">
      <c r="C17" s="15" t="str">
        <f>A105</f>
        <v>5.- Sistema de Alimentación Ininterrumpida</v>
      </c>
      <c r="D17" s="1">
        <f>ROUND(F117,2)</f>
        <v>11813.46</v>
      </c>
      <c r="J17" s="15" t="str">
        <f t="shared" ref="J17" si="1">C17</f>
        <v>5.- Sistema de Alimentación Ininterrumpida</v>
      </c>
      <c r="K17" s="3">
        <f>ROUND(K117,2)</f>
        <v>1073.95</v>
      </c>
      <c r="L17" s="2"/>
    </row>
    <row r="18" spans="1:12" ht="15.75" x14ac:dyDescent="0.25">
      <c r="C18" s="16" t="s">
        <v>56</v>
      </c>
      <c r="D18" s="17">
        <f>SUM(D13:D17)</f>
        <v>242714.31999999998</v>
      </c>
      <c r="J18" s="16" t="s">
        <v>56</v>
      </c>
      <c r="K18" s="17">
        <f>SUM(K13:K17)</f>
        <v>12034.02</v>
      </c>
      <c r="L18" s="18"/>
    </row>
    <row r="20" spans="1:12" x14ac:dyDescent="0.25">
      <c r="J20" s="230" t="s">
        <v>57</v>
      </c>
      <c r="K20" s="230"/>
    </row>
    <row r="22" spans="1:12" x14ac:dyDescent="0.25">
      <c r="A22" s="219" t="s">
        <v>58</v>
      </c>
      <c r="B22" s="220"/>
      <c r="C22" s="221"/>
      <c r="H22" s="219" t="str">
        <f>A22</f>
        <v>1.- Desmontaje</v>
      </c>
      <c r="I22" s="220"/>
      <c r="J22" s="221"/>
    </row>
    <row r="23" spans="1:12" ht="25.5" x14ac:dyDescent="0.25">
      <c r="A23" s="222" t="s">
        <v>59</v>
      </c>
      <c r="B23" s="222"/>
      <c r="C23" s="19" t="s">
        <v>60</v>
      </c>
      <c r="D23" s="19" t="s">
        <v>61</v>
      </c>
      <c r="E23" s="20" t="s">
        <v>62</v>
      </c>
      <c r="F23" s="14" t="s">
        <v>63</v>
      </c>
      <c r="H23" s="222" t="s">
        <v>59</v>
      </c>
      <c r="I23" s="222"/>
      <c r="J23" s="19" t="str">
        <f>E23</f>
        <v>P/U</v>
      </c>
      <c r="K23" s="19" t="str">
        <f>F23</f>
        <v>TOTAL</v>
      </c>
    </row>
    <row r="24" spans="1:12" x14ac:dyDescent="0.25">
      <c r="A24" s="231" t="s">
        <v>427</v>
      </c>
      <c r="B24" s="231"/>
      <c r="C24" s="231"/>
      <c r="D24" s="231"/>
      <c r="E24" s="231"/>
      <c r="F24" s="231"/>
      <c r="H24" s="232" t="s">
        <v>482</v>
      </c>
      <c r="I24" s="233"/>
      <c r="J24" s="233"/>
      <c r="K24" s="233"/>
    </row>
    <row r="25" spans="1:12" x14ac:dyDescent="0.25">
      <c r="A25" s="218" t="s">
        <v>64</v>
      </c>
      <c r="B25" s="218"/>
      <c r="C25" s="218"/>
      <c r="D25" s="218"/>
      <c r="E25" s="218"/>
      <c r="F25" s="218"/>
      <c r="H25" s="218" t="str">
        <f>A25</f>
        <v>Partida de desmontaje de equipos en Zona de Obra</v>
      </c>
      <c r="I25" s="218"/>
      <c r="J25" s="218"/>
      <c r="K25" s="218"/>
    </row>
    <row r="26" spans="1:12" s="27" customFormat="1" ht="12.75" x14ac:dyDescent="0.2">
      <c r="A26" s="21">
        <v>60</v>
      </c>
      <c r="B26" s="22" t="s">
        <v>33</v>
      </c>
      <c r="C26" s="23" t="s">
        <v>546</v>
      </c>
      <c r="D26" s="24" t="s">
        <v>65</v>
      </c>
      <c r="E26" s="25">
        <f>0.5*2*100</f>
        <v>100</v>
      </c>
      <c r="F26" s="26">
        <f>ROUND(A26*E26,2)</f>
        <v>6000</v>
      </c>
      <c r="H26" s="28">
        <f>A26</f>
        <v>60</v>
      </c>
      <c r="I26" s="29" t="str">
        <f t="shared" ref="I26:I31" si="2">B26</f>
        <v>ud</v>
      </c>
      <c r="J26" s="10"/>
      <c r="K26" s="30">
        <f t="shared" ref="K26:K31" si="3">+J26*H26</f>
        <v>0</v>
      </c>
    </row>
    <row r="27" spans="1:12" s="27" customFormat="1" ht="12.75" x14ac:dyDescent="0.2">
      <c r="A27" s="21">
        <v>20</v>
      </c>
      <c r="B27" s="22" t="s">
        <v>33</v>
      </c>
      <c r="C27" s="23" t="s">
        <v>547</v>
      </c>
      <c r="D27" s="31" t="s">
        <v>66</v>
      </c>
      <c r="E27" s="25">
        <f>1*2*100</f>
        <v>200</v>
      </c>
      <c r="F27" s="26">
        <f t="shared" ref="F27:F31" si="4">ROUND(A27*E27,2)</f>
        <v>4000</v>
      </c>
      <c r="H27" s="21">
        <f t="shared" ref="H27:H31" si="5">A27</f>
        <v>20</v>
      </c>
      <c r="I27" s="22" t="str">
        <f t="shared" si="2"/>
        <v>ud</v>
      </c>
      <c r="J27" s="9"/>
      <c r="K27" s="26">
        <f t="shared" si="3"/>
        <v>0</v>
      </c>
    </row>
    <row r="28" spans="1:12" s="27" customFormat="1" ht="12.75" x14ac:dyDescent="0.2">
      <c r="A28" s="21">
        <v>1</v>
      </c>
      <c r="B28" s="22" t="s">
        <v>33</v>
      </c>
      <c r="C28" s="23" t="s">
        <v>425</v>
      </c>
      <c r="D28" s="31" t="s">
        <v>426</v>
      </c>
      <c r="E28" s="25">
        <f>4*2*100</f>
        <v>800</v>
      </c>
      <c r="F28" s="26">
        <f t="shared" si="4"/>
        <v>800</v>
      </c>
      <c r="H28" s="21">
        <f t="shared" si="5"/>
        <v>1</v>
      </c>
      <c r="I28" s="22" t="str">
        <f t="shared" si="2"/>
        <v>ud</v>
      </c>
      <c r="J28" s="9"/>
      <c r="K28" s="26">
        <f t="shared" si="3"/>
        <v>0</v>
      </c>
    </row>
    <row r="29" spans="1:12" s="27" customFormat="1" ht="12.75" x14ac:dyDescent="0.2">
      <c r="A29" s="21">
        <v>10</v>
      </c>
      <c r="B29" s="22" t="s">
        <v>33</v>
      </c>
      <c r="C29" s="23" t="s">
        <v>428</v>
      </c>
      <c r="D29" s="24" t="s">
        <v>429</v>
      </c>
      <c r="E29" s="25">
        <f>0.33*2*100</f>
        <v>66</v>
      </c>
      <c r="F29" s="26">
        <f>ROUND(A29*E29,2)</f>
        <v>660</v>
      </c>
      <c r="H29" s="21">
        <f>A29</f>
        <v>10</v>
      </c>
      <c r="I29" s="22" t="str">
        <f t="shared" ref="I29" si="6">B29</f>
        <v>ud</v>
      </c>
      <c r="J29" s="9"/>
      <c r="K29" s="26">
        <f t="shared" si="3"/>
        <v>0</v>
      </c>
    </row>
    <row r="30" spans="1:12" s="27" customFormat="1" ht="12.75" x14ac:dyDescent="0.2">
      <c r="A30" s="21">
        <v>500</v>
      </c>
      <c r="B30" s="22" t="s">
        <v>67</v>
      </c>
      <c r="C30" s="31" t="s">
        <v>68</v>
      </c>
      <c r="D30" s="31" t="s">
        <v>69</v>
      </c>
      <c r="E30" s="25">
        <f>0.0075*2*100</f>
        <v>1.5</v>
      </c>
      <c r="F30" s="26">
        <f t="shared" si="4"/>
        <v>750</v>
      </c>
      <c r="H30" s="21">
        <f t="shared" si="5"/>
        <v>500</v>
      </c>
      <c r="I30" s="22" t="str">
        <f t="shared" si="2"/>
        <v>ml</v>
      </c>
      <c r="J30" s="9"/>
      <c r="K30" s="26">
        <f t="shared" si="3"/>
        <v>0</v>
      </c>
    </row>
    <row r="31" spans="1:12" s="27" customFormat="1" ht="12.75" x14ac:dyDescent="0.2">
      <c r="A31" s="32">
        <v>20</v>
      </c>
      <c r="B31" s="33" t="s">
        <v>33</v>
      </c>
      <c r="C31" s="34" t="s">
        <v>70</v>
      </c>
      <c r="D31" s="34" t="s">
        <v>71</v>
      </c>
      <c r="E31" s="35">
        <f>0.25*2*100</f>
        <v>50</v>
      </c>
      <c r="F31" s="36">
        <f t="shared" si="4"/>
        <v>1000</v>
      </c>
      <c r="H31" s="32">
        <f t="shared" si="5"/>
        <v>20</v>
      </c>
      <c r="I31" s="33" t="str">
        <f t="shared" si="2"/>
        <v>ud</v>
      </c>
      <c r="J31" s="9"/>
      <c r="K31" s="36">
        <f t="shared" si="3"/>
        <v>0</v>
      </c>
    </row>
    <row r="32" spans="1:12" x14ac:dyDescent="0.25">
      <c r="A32" s="37"/>
      <c r="B32" s="37"/>
      <c r="C32" s="38"/>
      <c r="D32" s="38"/>
      <c r="E32" s="39" t="s">
        <v>72</v>
      </c>
      <c r="F32" s="40">
        <f>SUM(F26:F31)</f>
        <v>13210</v>
      </c>
      <c r="H32" s="37"/>
      <c r="I32" s="37"/>
      <c r="J32" s="41" t="s">
        <v>72</v>
      </c>
      <c r="K32" s="40">
        <f>SUM(K26:K31)</f>
        <v>0</v>
      </c>
    </row>
    <row r="33" spans="1:13" x14ac:dyDescent="0.25">
      <c r="A33" s="42"/>
      <c r="B33" s="42"/>
      <c r="C33" s="43"/>
      <c r="D33" s="43"/>
      <c r="E33" s="43"/>
      <c r="F33" s="43"/>
    </row>
    <row r="34" spans="1:13" x14ac:dyDescent="0.25">
      <c r="A34" s="219" t="s">
        <v>73</v>
      </c>
      <c r="B34" s="220"/>
      <c r="C34" s="221"/>
      <c r="D34" s="44"/>
      <c r="E34" s="44"/>
      <c r="F34" s="45"/>
      <c r="H34" s="219" t="str">
        <f>A34</f>
        <v>2.- Instalación de la Infraestructura</v>
      </c>
      <c r="I34" s="220"/>
      <c r="J34" s="221"/>
      <c r="K34" s="44"/>
      <c r="L34" s="44"/>
      <c r="M34" s="44"/>
    </row>
    <row r="35" spans="1:13" ht="25.5" x14ac:dyDescent="0.25">
      <c r="A35" s="222" t="s">
        <v>59</v>
      </c>
      <c r="B35" s="222"/>
      <c r="C35" s="19" t="s">
        <v>60</v>
      </c>
      <c r="D35" s="19" t="s">
        <v>61</v>
      </c>
      <c r="E35" s="20" t="s">
        <v>62</v>
      </c>
      <c r="F35" s="14" t="s">
        <v>63</v>
      </c>
      <c r="H35" s="222" t="s">
        <v>59</v>
      </c>
      <c r="I35" s="222"/>
      <c r="J35" s="19" t="str">
        <f>E35</f>
        <v>P/U</v>
      </c>
      <c r="K35" s="20" t="s">
        <v>55</v>
      </c>
    </row>
    <row r="36" spans="1:13" s="27" customFormat="1" ht="127.5" x14ac:dyDescent="0.2">
      <c r="A36" s="28">
        <v>250</v>
      </c>
      <c r="B36" s="29" t="s">
        <v>67</v>
      </c>
      <c r="C36" s="46" t="s">
        <v>74</v>
      </c>
      <c r="D36" s="47" t="s">
        <v>75</v>
      </c>
      <c r="E36" s="48">
        <v>42</v>
      </c>
      <c r="F36" s="30">
        <f>ROUND(A36*E36,2)</f>
        <v>10500</v>
      </c>
      <c r="G36" s="49"/>
      <c r="H36" s="28">
        <f>A36</f>
        <v>250</v>
      </c>
      <c r="I36" s="50" t="str">
        <f>B36</f>
        <v>ml</v>
      </c>
      <c r="J36" s="10"/>
      <c r="K36" s="30">
        <f t="shared" ref="K36:K50" si="7">+J36*H36</f>
        <v>0</v>
      </c>
    </row>
    <row r="37" spans="1:13" s="27" customFormat="1" ht="127.5" x14ac:dyDescent="0.2">
      <c r="A37" s="21">
        <v>500</v>
      </c>
      <c r="B37" s="22" t="s">
        <v>67</v>
      </c>
      <c r="C37" s="23" t="s">
        <v>51</v>
      </c>
      <c r="D37" s="24" t="s">
        <v>76</v>
      </c>
      <c r="E37" s="25">
        <v>28</v>
      </c>
      <c r="F37" s="26">
        <f t="shared" ref="F37:F50" si="8">ROUND(A37*E37,2)</f>
        <v>14000</v>
      </c>
      <c r="G37" s="49"/>
      <c r="H37" s="21">
        <f t="shared" ref="H37:H50" si="9">A37</f>
        <v>500</v>
      </c>
      <c r="I37" s="51" t="str">
        <f t="shared" ref="I37:I53" si="10">B37</f>
        <v>ml</v>
      </c>
      <c r="J37" s="9"/>
      <c r="K37" s="52">
        <f t="shared" si="7"/>
        <v>0</v>
      </c>
    </row>
    <row r="38" spans="1:13" s="27" customFormat="1" ht="89.25" x14ac:dyDescent="0.2">
      <c r="A38" s="21">
        <v>750</v>
      </c>
      <c r="B38" s="22" t="s">
        <v>67</v>
      </c>
      <c r="C38" s="23" t="s">
        <v>430</v>
      </c>
      <c r="D38" s="31" t="s">
        <v>77</v>
      </c>
      <c r="E38" s="25">
        <v>8.56</v>
      </c>
      <c r="F38" s="26">
        <f t="shared" si="8"/>
        <v>6420</v>
      </c>
      <c r="G38" s="49"/>
      <c r="H38" s="21">
        <f t="shared" si="9"/>
        <v>750</v>
      </c>
      <c r="I38" s="51" t="str">
        <f t="shared" si="10"/>
        <v>ml</v>
      </c>
      <c r="J38" s="9"/>
      <c r="K38" s="52">
        <f t="shared" si="7"/>
        <v>0</v>
      </c>
    </row>
    <row r="39" spans="1:13" s="27" customFormat="1" ht="63.75" x14ac:dyDescent="0.2">
      <c r="A39" s="21">
        <v>400</v>
      </c>
      <c r="B39" s="22" t="s">
        <v>67</v>
      </c>
      <c r="C39" s="23" t="s">
        <v>481</v>
      </c>
      <c r="D39" s="31" t="s">
        <v>78</v>
      </c>
      <c r="E39" s="25">
        <v>16.579999999999998</v>
      </c>
      <c r="F39" s="26">
        <f t="shared" si="8"/>
        <v>6632</v>
      </c>
      <c r="G39" s="49"/>
      <c r="H39" s="21">
        <f t="shared" si="9"/>
        <v>400</v>
      </c>
      <c r="I39" s="51" t="str">
        <f t="shared" si="10"/>
        <v>ml</v>
      </c>
      <c r="J39" s="9"/>
      <c r="K39" s="52">
        <f t="shared" si="7"/>
        <v>0</v>
      </c>
    </row>
    <row r="40" spans="1:13" s="27" customFormat="1" ht="127.5" x14ac:dyDescent="0.2">
      <c r="A40" s="21">
        <v>8</v>
      </c>
      <c r="B40" s="22" t="s">
        <v>33</v>
      </c>
      <c r="C40" s="23" t="s">
        <v>431</v>
      </c>
      <c r="D40" s="31" t="s">
        <v>79</v>
      </c>
      <c r="E40" s="25">
        <v>203.25</v>
      </c>
      <c r="F40" s="26">
        <f t="shared" si="8"/>
        <v>1626</v>
      </c>
      <c r="G40" s="49"/>
      <c r="H40" s="21">
        <f t="shared" si="9"/>
        <v>8</v>
      </c>
      <c r="I40" s="51" t="str">
        <f t="shared" si="10"/>
        <v>ud</v>
      </c>
      <c r="J40" s="9"/>
      <c r="K40" s="52">
        <f t="shared" si="7"/>
        <v>0</v>
      </c>
    </row>
    <row r="41" spans="1:13" s="27" customFormat="1" ht="12.75" x14ac:dyDescent="0.2">
      <c r="A41" s="21">
        <v>26</v>
      </c>
      <c r="B41" s="22" t="s">
        <v>33</v>
      </c>
      <c r="C41" s="23" t="s">
        <v>80</v>
      </c>
      <c r="D41" s="31" t="s">
        <v>81</v>
      </c>
      <c r="E41" s="25">
        <f>0.3*2*100</f>
        <v>60</v>
      </c>
      <c r="F41" s="26">
        <f t="shared" si="8"/>
        <v>1560</v>
      </c>
      <c r="G41" s="49"/>
      <c r="H41" s="21">
        <f t="shared" si="9"/>
        <v>26</v>
      </c>
      <c r="I41" s="51" t="str">
        <f t="shared" si="10"/>
        <v>ud</v>
      </c>
      <c r="J41" s="9"/>
      <c r="K41" s="52">
        <f t="shared" si="7"/>
        <v>0</v>
      </c>
    </row>
    <row r="42" spans="1:13" s="27" customFormat="1" ht="51" x14ac:dyDescent="0.2">
      <c r="A42" s="21">
        <v>6</v>
      </c>
      <c r="B42" s="22" t="s">
        <v>33</v>
      </c>
      <c r="C42" s="23" t="s">
        <v>82</v>
      </c>
      <c r="D42" s="31" t="s">
        <v>83</v>
      </c>
      <c r="E42" s="25">
        <v>232.3</v>
      </c>
      <c r="F42" s="26">
        <f t="shared" si="8"/>
        <v>1393.8</v>
      </c>
      <c r="G42" s="53"/>
      <c r="H42" s="21">
        <f t="shared" si="9"/>
        <v>6</v>
      </c>
      <c r="I42" s="51" t="str">
        <f t="shared" si="10"/>
        <v>ud</v>
      </c>
      <c r="J42" s="9"/>
      <c r="K42" s="52">
        <f t="shared" si="7"/>
        <v>0</v>
      </c>
    </row>
    <row r="43" spans="1:13" s="27" customFormat="1" ht="25.5" x14ac:dyDescent="0.2">
      <c r="A43" s="21">
        <v>1</v>
      </c>
      <c r="B43" s="22" t="s">
        <v>33</v>
      </c>
      <c r="C43" s="23" t="s">
        <v>432</v>
      </c>
      <c r="D43" s="31" t="s">
        <v>435</v>
      </c>
      <c r="E43" s="25">
        <v>771.1</v>
      </c>
      <c r="F43" s="26">
        <f t="shared" si="8"/>
        <v>771.1</v>
      </c>
      <c r="G43" s="53"/>
      <c r="H43" s="21">
        <f t="shared" si="9"/>
        <v>1</v>
      </c>
      <c r="I43" s="51" t="str">
        <f t="shared" si="10"/>
        <v>ud</v>
      </c>
      <c r="J43" s="9"/>
      <c r="K43" s="52">
        <f t="shared" si="7"/>
        <v>0</v>
      </c>
    </row>
    <row r="44" spans="1:13" s="27" customFormat="1" ht="12.75" x14ac:dyDescent="0.2">
      <c r="A44" s="21">
        <v>1</v>
      </c>
      <c r="B44" s="22" t="s">
        <v>33</v>
      </c>
      <c r="C44" s="23" t="s">
        <v>434</v>
      </c>
      <c r="D44" s="24" t="s">
        <v>84</v>
      </c>
      <c r="E44" s="25">
        <v>231.9</v>
      </c>
      <c r="F44" s="26">
        <f t="shared" si="8"/>
        <v>231.9</v>
      </c>
      <c r="G44" s="53"/>
      <c r="H44" s="21">
        <f t="shared" si="9"/>
        <v>1</v>
      </c>
      <c r="I44" s="51" t="str">
        <f t="shared" si="10"/>
        <v>ud</v>
      </c>
      <c r="J44" s="9"/>
      <c r="K44" s="52">
        <f t="shared" si="7"/>
        <v>0</v>
      </c>
    </row>
    <row r="45" spans="1:13" s="27" customFormat="1" ht="63.75" x14ac:dyDescent="0.2">
      <c r="A45" s="21">
        <v>1</v>
      </c>
      <c r="B45" s="22" t="s">
        <v>33</v>
      </c>
      <c r="C45" s="23" t="s">
        <v>433</v>
      </c>
      <c r="D45" s="31" t="s">
        <v>85</v>
      </c>
      <c r="E45" s="25">
        <v>76</v>
      </c>
      <c r="F45" s="26">
        <f t="shared" si="8"/>
        <v>76</v>
      </c>
      <c r="G45" s="53"/>
      <c r="H45" s="21">
        <f t="shared" si="9"/>
        <v>1</v>
      </c>
      <c r="I45" s="51" t="str">
        <f t="shared" si="10"/>
        <v>ud</v>
      </c>
      <c r="J45" s="9"/>
      <c r="K45" s="52">
        <f t="shared" si="7"/>
        <v>0</v>
      </c>
    </row>
    <row r="46" spans="1:13" s="27" customFormat="1" ht="25.5" x14ac:dyDescent="0.2">
      <c r="A46" s="21">
        <v>5</v>
      </c>
      <c r="B46" s="22" t="s">
        <v>33</v>
      </c>
      <c r="C46" s="23" t="s">
        <v>86</v>
      </c>
      <c r="D46" s="31" t="s">
        <v>87</v>
      </c>
      <c r="E46" s="25">
        <v>400</v>
      </c>
      <c r="F46" s="26">
        <f t="shared" si="8"/>
        <v>2000</v>
      </c>
      <c r="G46" s="53"/>
      <c r="H46" s="21">
        <f t="shared" si="9"/>
        <v>5</v>
      </c>
      <c r="I46" s="51" t="str">
        <f t="shared" si="10"/>
        <v>ud</v>
      </c>
      <c r="J46" s="9"/>
      <c r="K46" s="52">
        <f t="shared" si="7"/>
        <v>0</v>
      </c>
    </row>
    <row r="47" spans="1:13" s="27" customFormat="1" ht="12.75" x14ac:dyDescent="0.2">
      <c r="A47" s="21">
        <v>5</v>
      </c>
      <c r="B47" s="22" t="s">
        <v>33</v>
      </c>
      <c r="C47" s="23" t="s">
        <v>88</v>
      </c>
      <c r="D47" s="24" t="s">
        <v>89</v>
      </c>
      <c r="E47" s="25">
        <v>202</v>
      </c>
      <c r="F47" s="26">
        <f t="shared" si="8"/>
        <v>1010</v>
      </c>
      <c r="G47" s="53"/>
      <c r="H47" s="21">
        <f t="shared" si="9"/>
        <v>5</v>
      </c>
      <c r="I47" s="51" t="str">
        <f t="shared" si="10"/>
        <v>ud</v>
      </c>
      <c r="J47" s="9"/>
      <c r="K47" s="52">
        <f t="shared" si="7"/>
        <v>0</v>
      </c>
    </row>
    <row r="48" spans="1:13" s="27" customFormat="1" ht="63.75" x14ac:dyDescent="0.2">
      <c r="A48" s="21">
        <v>5</v>
      </c>
      <c r="B48" s="22" t="s">
        <v>33</v>
      </c>
      <c r="C48" s="23" t="s">
        <v>90</v>
      </c>
      <c r="D48" s="31" t="s">
        <v>85</v>
      </c>
      <c r="E48" s="25">
        <v>76</v>
      </c>
      <c r="F48" s="26">
        <f t="shared" si="8"/>
        <v>380</v>
      </c>
      <c r="G48" s="53"/>
      <c r="H48" s="21">
        <f t="shared" si="9"/>
        <v>5</v>
      </c>
      <c r="I48" s="51" t="str">
        <f t="shared" si="10"/>
        <v>ud</v>
      </c>
      <c r="J48" s="9"/>
      <c r="K48" s="52">
        <f t="shared" si="7"/>
        <v>0</v>
      </c>
    </row>
    <row r="49" spans="1:13" s="27" customFormat="1" ht="178.5" x14ac:dyDescent="0.2">
      <c r="A49" s="54">
        <v>26</v>
      </c>
      <c r="B49" s="55" t="s">
        <v>33</v>
      </c>
      <c r="C49" s="56" t="s">
        <v>91</v>
      </c>
      <c r="D49" s="31" t="s">
        <v>92</v>
      </c>
      <c r="E49" s="58">
        <v>1026</v>
      </c>
      <c r="F49" s="26">
        <f t="shared" si="8"/>
        <v>26676</v>
      </c>
      <c r="G49" s="49"/>
      <c r="H49" s="21">
        <f t="shared" si="9"/>
        <v>26</v>
      </c>
      <c r="I49" s="51" t="str">
        <f t="shared" si="10"/>
        <v>ud</v>
      </c>
      <c r="J49" s="11"/>
      <c r="K49" s="52">
        <f t="shared" si="7"/>
        <v>0</v>
      </c>
    </row>
    <row r="50" spans="1:13" s="27" customFormat="1" ht="25.5" x14ac:dyDescent="0.2">
      <c r="A50" s="21">
        <v>26</v>
      </c>
      <c r="B50" s="22" t="s">
        <v>33</v>
      </c>
      <c r="C50" s="31" t="s">
        <v>93</v>
      </c>
      <c r="D50" s="31" t="s">
        <v>94</v>
      </c>
      <c r="E50" s="25">
        <v>200</v>
      </c>
      <c r="F50" s="26">
        <f t="shared" si="8"/>
        <v>5200</v>
      </c>
      <c r="H50" s="59">
        <f t="shared" si="9"/>
        <v>26</v>
      </c>
      <c r="I50" s="60" t="str">
        <f t="shared" si="10"/>
        <v>ud</v>
      </c>
      <c r="J50" s="9"/>
      <c r="K50" s="61">
        <f t="shared" si="7"/>
        <v>0</v>
      </c>
    </row>
    <row r="51" spans="1:13" x14ac:dyDescent="0.25">
      <c r="A51" s="218" t="s">
        <v>95</v>
      </c>
      <c r="B51" s="218"/>
      <c r="C51" s="218"/>
      <c r="D51" s="218"/>
      <c r="E51" s="218"/>
      <c r="F51" s="218"/>
      <c r="H51" s="215" t="str">
        <f>A51</f>
        <v>Partidas auxiliares</v>
      </c>
      <c r="I51" s="216"/>
      <c r="J51" s="216"/>
      <c r="K51" s="217"/>
      <c r="L51" s="27"/>
      <c r="M51" s="27"/>
    </row>
    <row r="52" spans="1:13" s="27" customFormat="1" ht="25.5" x14ac:dyDescent="0.2">
      <c r="A52" s="21">
        <v>1</v>
      </c>
      <c r="B52" s="22" t="s">
        <v>33</v>
      </c>
      <c r="C52" s="31" t="s">
        <v>96</v>
      </c>
      <c r="D52" s="31" t="s">
        <v>97</v>
      </c>
      <c r="E52" s="25">
        <f>0.03*(SUM(F36:F50))</f>
        <v>2354.3040000000001</v>
      </c>
      <c r="F52" s="52">
        <f>ROUND(A52*E52,2)</f>
        <v>2354.3000000000002</v>
      </c>
      <c r="H52" s="21">
        <f>A52</f>
        <v>1</v>
      </c>
      <c r="I52" s="51" t="str">
        <f t="shared" si="10"/>
        <v>ud</v>
      </c>
      <c r="J52" s="62">
        <f>E52</f>
        <v>2354.3040000000001</v>
      </c>
      <c r="K52" s="26">
        <f>+J52*H52</f>
        <v>2354.3040000000001</v>
      </c>
    </row>
    <row r="53" spans="1:13" s="27" customFormat="1" ht="25.5" x14ac:dyDescent="0.2">
      <c r="A53" s="32">
        <v>1</v>
      </c>
      <c r="B53" s="33" t="s">
        <v>33</v>
      </c>
      <c r="C53" s="34" t="s">
        <v>98</v>
      </c>
      <c r="D53" s="34" t="s">
        <v>99</v>
      </c>
      <c r="E53" s="35">
        <f>0.03*(SUM(F36:F50))</f>
        <v>2354.3040000000001</v>
      </c>
      <c r="F53" s="63">
        <f>ROUND(A53*E53,2)</f>
        <v>2354.3000000000002</v>
      </c>
      <c r="H53" s="32">
        <f>A53</f>
        <v>1</v>
      </c>
      <c r="I53" s="64" t="str">
        <f t="shared" si="10"/>
        <v>ud</v>
      </c>
      <c r="J53" s="65">
        <f>E53</f>
        <v>2354.3040000000001</v>
      </c>
      <c r="K53" s="36">
        <f>+J53*H53</f>
        <v>2354.3040000000001</v>
      </c>
    </row>
    <row r="54" spans="1:13" x14ac:dyDescent="0.25">
      <c r="A54" s="37"/>
      <c r="B54" s="37"/>
      <c r="C54" s="38"/>
      <c r="D54" s="38"/>
      <c r="E54" s="39" t="s">
        <v>72</v>
      </c>
      <c r="F54" s="40">
        <f>SUM(F36:F53)</f>
        <v>83185.400000000009</v>
      </c>
      <c r="H54" s="37"/>
      <c r="I54" s="37"/>
      <c r="J54" s="66" t="s">
        <v>72</v>
      </c>
      <c r="K54" s="40">
        <f>SUM(K36:K53)</f>
        <v>4708.6080000000002</v>
      </c>
    </row>
    <row r="55" spans="1:13" x14ac:dyDescent="0.25">
      <c r="A55" s="42"/>
      <c r="B55" s="42"/>
      <c r="C55" s="43"/>
      <c r="D55" s="43"/>
      <c r="E55" s="43"/>
      <c r="F55" s="199"/>
      <c r="H55" s="42"/>
      <c r="I55" s="42"/>
      <c r="J55" s="43"/>
      <c r="K55" s="43"/>
      <c r="L55" s="43"/>
      <c r="M55" s="43"/>
    </row>
    <row r="56" spans="1:13" x14ac:dyDescent="0.25">
      <c r="A56" s="219" t="s">
        <v>100</v>
      </c>
      <c r="B56" s="220"/>
      <c r="C56" s="221"/>
      <c r="D56" s="44"/>
      <c r="E56" s="44"/>
      <c r="F56" s="45"/>
      <c r="H56" s="219" t="str">
        <f>A56</f>
        <v>3.- Instalación y certificación de cableados</v>
      </c>
      <c r="I56" s="220"/>
      <c r="J56" s="221"/>
      <c r="K56" s="44"/>
      <c r="L56" s="44"/>
      <c r="M56" s="44"/>
    </row>
    <row r="57" spans="1:13" ht="25.5" x14ac:dyDescent="0.25">
      <c r="A57" s="222" t="s">
        <v>59</v>
      </c>
      <c r="B57" s="222"/>
      <c r="C57" s="19" t="s">
        <v>60</v>
      </c>
      <c r="D57" s="19" t="s">
        <v>61</v>
      </c>
      <c r="E57" s="20" t="s">
        <v>62</v>
      </c>
      <c r="F57" s="14" t="s">
        <v>63</v>
      </c>
      <c r="H57" s="222" t="s">
        <v>59</v>
      </c>
      <c r="I57" s="222"/>
      <c r="J57" s="19" t="str">
        <f>E57</f>
        <v>P/U</v>
      </c>
      <c r="K57" s="20" t="s">
        <v>55</v>
      </c>
    </row>
    <row r="58" spans="1:13" ht="51" x14ac:dyDescent="0.25">
      <c r="A58" s="28">
        <v>11000</v>
      </c>
      <c r="B58" s="29" t="s">
        <v>67</v>
      </c>
      <c r="C58" s="46" t="s">
        <v>101</v>
      </c>
      <c r="D58" s="47" t="s">
        <v>102</v>
      </c>
      <c r="E58" s="48">
        <v>3.3</v>
      </c>
      <c r="F58" s="30">
        <f>ROUND(A58*E58,2)</f>
        <v>36300</v>
      </c>
      <c r="H58" s="28">
        <f>A58</f>
        <v>11000</v>
      </c>
      <c r="I58" s="29" t="str">
        <f>B58</f>
        <v>ml</v>
      </c>
      <c r="J58" s="10"/>
      <c r="K58" s="30">
        <f>+J58*H58</f>
        <v>0</v>
      </c>
    </row>
    <row r="59" spans="1:13" ht="38.25" x14ac:dyDescent="0.25">
      <c r="A59" s="54">
        <v>1500</v>
      </c>
      <c r="B59" s="55" t="s">
        <v>67</v>
      </c>
      <c r="C59" s="56" t="s">
        <v>103</v>
      </c>
      <c r="D59" s="57" t="s">
        <v>104</v>
      </c>
      <c r="E59" s="58">
        <v>3.2</v>
      </c>
      <c r="F59" s="52">
        <f t="shared" ref="F59:F61" si="11">ROUND(A59*E59,2)</f>
        <v>4800</v>
      </c>
      <c r="H59" s="54">
        <f t="shared" ref="H59:H61" si="12">A59</f>
        <v>1500</v>
      </c>
      <c r="I59" s="22" t="str">
        <f t="shared" ref="I59" si="13">B59</f>
        <v>ml</v>
      </c>
      <c r="J59" s="11"/>
      <c r="K59" s="26">
        <f>+J59*H59</f>
        <v>0</v>
      </c>
    </row>
    <row r="60" spans="1:13" ht="38.25" x14ac:dyDescent="0.25">
      <c r="A60" s="54">
        <v>650</v>
      </c>
      <c r="B60" s="55" t="s">
        <v>67</v>
      </c>
      <c r="C60" s="56" t="s">
        <v>436</v>
      </c>
      <c r="D60" s="57" t="s">
        <v>104</v>
      </c>
      <c r="E60" s="58">
        <v>3.5</v>
      </c>
      <c r="F60" s="52">
        <f t="shared" ref="F60" si="14">ROUND(A60*E60,2)</f>
        <v>2275</v>
      </c>
      <c r="H60" s="54">
        <f t="shared" ref="H60" si="15">A60</f>
        <v>650</v>
      </c>
      <c r="I60" s="22" t="str">
        <f t="shared" ref="I60" si="16">B60</f>
        <v>ml</v>
      </c>
      <c r="J60" s="11"/>
      <c r="K60" s="26">
        <f>+J60*H60</f>
        <v>0</v>
      </c>
    </row>
    <row r="61" spans="1:13" ht="38.25" x14ac:dyDescent="0.25">
      <c r="A61" s="67">
        <v>2700</v>
      </c>
      <c r="B61" s="68" t="s">
        <v>67</v>
      </c>
      <c r="C61" s="69" t="s">
        <v>105</v>
      </c>
      <c r="D61" s="70" t="s">
        <v>104</v>
      </c>
      <c r="E61" s="71">
        <v>4.7</v>
      </c>
      <c r="F61" s="63">
        <f t="shared" si="11"/>
        <v>12690</v>
      </c>
      <c r="H61" s="67">
        <f t="shared" si="12"/>
        <v>2700</v>
      </c>
      <c r="I61" s="33" t="str">
        <f>B61</f>
        <v>ml</v>
      </c>
      <c r="J61" s="12"/>
      <c r="K61" s="36">
        <f>+J61*H61</f>
        <v>0</v>
      </c>
    </row>
    <row r="62" spans="1:13" x14ac:dyDescent="0.25">
      <c r="A62" s="218" t="s">
        <v>95</v>
      </c>
      <c r="B62" s="218"/>
      <c r="C62" s="218"/>
      <c r="D62" s="218"/>
      <c r="E62" s="218"/>
      <c r="F62" s="218"/>
      <c r="H62" s="215" t="str">
        <f>A62</f>
        <v>Partidas auxiliares</v>
      </c>
      <c r="I62" s="216"/>
      <c r="J62" s="216"/>
      <c r="K62" s="217"/>
      <c r="L62" s="27"/>
      <c r="M62" s="27"/>
    </row>
    <row r="63" spans="1:13" s="27" customFormat="1" ht="25.5" x14ac:dyDescent="0.2">
      <c r="A63" s="21">
        <v>1</v>
      </c>
      <c r="B63" s="22" t="s">
        <v>33</v>
      </c>
      <c r="C63" s="31" t="s">
        <v>96</v>
      </c>
      <c r="D63" s="31" t="s">
        <v>97</v>
      </c>
      <c r="E63" s="25">
        <f>0.03*(SUM(F58:F61))</f>
        <v>1681.95</v>
      </c>
      <c r="F63" s="52">
        <f>ROUND(A63*E63,2)</f>
        <v>1681.95</v>
      </c>
      <c r="H63" s="21">
        <f>A63</f>
        <v>1</v>
      </c>
      <c r="I63" s="51" t="str">
        <f t="shared" ref="I63:I64" si="17">B63</f>
        <v>ud</v>
      </c>
      <c r="J63" s="62">
        <f>E63</f>
        <v>1681.95</v>
      </c>
      <c r="K63" s="26">
        <f>+J63*H63</f>
        <v>1681.95</v>
      </c>
    </row>
    <row r="64" spans="1:13" s="27" customFormat="1" ht="25.5" x14ac:dyDescent="0.2">
      <c r="A64" s="32">
        <v>1</v>
      </c>
      <c r="B64" s="33" t="s">
        <v>33</v>
      </c>
      <c r="C64" s="34" t="s">
        <v>98</v>
      </c>
      <c r="D64" s="34" t="s">
        <v>99</v>
      </c>
      <c r="E64" s="35">
        <f>0.03*(SUM(F58:F61))</f>
        <v>1681.95</v>
      </c>
      <c r="F64" s="63">
        <f>ROUND(A64*E64,2)</f>
        <v>1681.95</v>
      </c>
      <c r="H64" s="32">
        <f>A64</f>
        <v>1</v>
      </c>
      <c r="I64" s="64" t="str">
        <f t="shared" si="17"/>
        <v>ud</v>
      </c>
      <c r="J64" s="65">
        <f>E64</f>
        <v>1681.95</v>
      </c>
      <c r="K64" s="36">
        <f>+J64*H64</f>
        <v>1681.95</v>
      </c>
    </row>
    <row r="65" spans="1:13" x14ac:dyDescent="0.25">
      <c r="A65" s="37"/>
      <c r="B65" s="37"/>
      <c r="C65" s="38"/>
      <c r="D65" s="38"/>
      <c r="E65" s="39" t="s">
        <v>72</v>
      </c>
      <c r="F65" s="40">
        <f>SUM(F58:F64)</f>
        <v>59428.899999999994</v>
      </c>
      <c r="H65" s="37"/>
      <c r="I65" s="37"/>
      <c r="J65" s="66" t="s">
        <v>72</v>
      </c>
      <c r="K65" s="40">
        <f>SUM(K58:K64)</f>
        <v>3363.9</v>
      </c>
    </row>
    <row r="66" spans="1:13" x14ac:dyDescent="0.25">
      <c r="A66" s="42"/>
      <c r="B66" s="42"/>
      <c r="C66" s="43"/>
      <c r="D66" s="43"/>
      <c r="E66" s="45"/>
      <c r="F66" s="45"/>
      <c r="G66" s="45"/>
      <c r="H66" s="42"/>
      <c r="I66" s="42"/>
      <c r="J66" s="43"/>
      <c r="K66" s="43"/>
      <c r="L66" s="43"/>
      <c r="M66" s="43"/>
    </row>
    <row r="67" spans="1:13" x14ac:dyDescent="0.25">
      <c r="A67" s="219" t="s">
        <v>106</v>
      </c>
      <c r="B67" s="220"/>
      <c r="C67" s="221"/>
      <c r="D67" s="44"/>
      <c r="E67" s="45"/>
      <c r="F67" s="45"/>
      <c r="G67" s="45"/>
      <c r="H67" s="219" t="str">
        <f>A67</f>
        <v>4.- Instalación eléctrica</v>
      </c>
      <c r="I67" s="220"/>
      <c r="J67" s="221"/>
      <c r="K67" s="44"/>
      <c r="L67" s="44"/>
      <c r="M67" s="44"/>
    </row>
    <row r="68" spans="1:13" ht="25.5" x14ac:dyDescent="0.25">
      <c r="A68" s="222" t="s">
        <v>59</v>
      </c>
      <c r="B68" s="222"/>
      <c r="C68" s="19" t="s">
        <v>60</v>
      </c>
      <c r="D68" s="19" t="s">
        <v>61</v>
      </c>
      <c r="E68" s="20" t="s">
        <v>62</v>
      </c>
      <c r="F68" s="14" t="s">
        <v>63</v>
      </c>
      <c r="G68" s="45"/>
      <c r="H68" s="222" t="s">
        <v>59</v>
      </c>
      <c r="I68" s="222"/>
      <c r="J68" s="19" t="str">
        <f>E68</f>
        <v>P/U</v>
      </c>
      <c r="K68" s="20" t="s">
        <v>55</v>
      </c>
    </row>
    <row r="69" spans="1:13" ht="102" x14ac:dyDescent="0.25">
      <c r="A69" s="72">
        <v>1300</v>
      </c>
      <c r="B69" s="73" t="s">
        <v>67</v>
      </c>
      <c r="C69" s="46" t="s">
        <v>107</v>
      </c>
      <c r="D69" s="74" t="s">
        <v>108</v>
      </c>
      <c r="E69" s="75">
        <v>26.1</v>
      </c>
      <c r="F69" s="76">
        <f>ROUND(A69*E69,2)</f>
        <v>33930</v>
      </c>
      <c r="G69" s="45"/>
      <c r="H69" s="72">
        <f>A69</f>
        <v>1300</v>
      </c>
      <c r="I69" s="29" t="str">
        <f>B69</f>
        <v>ml</v>
      </c>
      <c r="J69" s="10"/>
      <c r="K69" s="30">
        <f>+J69*H69</f>
        <v>0</v>
      </c>
    </row>
    <row r="70" spans="1:13" ht="102" x14ac:dyDescent="0.25">
      <c r="A70" s="77">
        <v>1350</v>
      </c>
      <c r="B70" s="78" t="s">
        <v>67</v>
      </c>
      <c r="C70" s="56" t="s">
        <v>483</v>
      </c>
      <c r="D70" s="79" t="s">
        <v>109</v>
      </c>
      <c r="E70" s="80">
        <v>18.95</v>
      </c>
      <c r="F70" s="81">
        <f>ROUND(A70*E70,2)</f>
        <v>25582.5</v>
      </c>
      <c r="G70" s="45"/>
      <c r="H70" s="77">
        <f>A70</f>
        <v>1350</v>
      </c>
      <c r="I70" s="22" t="str">
        <f>B70</f>
        <v>ml</v>
      </c>
      <c r="J70" s="11"/>
      <c r="K70" s="26">
        <f>+J70*H70</f>
        <v>0</v>
      </c>
    </row>
    <row r="71" spans="1:13" ht="102" x14ac:dyDescent="0.25">
      <c r="A71" s="77">
        <v>1000</v>
      </c>
      <c r="B71" s="78" t="s">
        <v>67</v>
      </c>
      <c r="C71" s="56" t="s">
        <v>437</v>
      </c>
      <c r="D71" s="79" t="s">
        <v>488</v>
      </c>
      <c r="E71" s="80">
        <v>6</v>
      </c>
      <c r="F71" s="81">
        <f t="shared" ref="F71:F73" si="18">ROUND(A71*E71,2)</f>
        <v>6000</v>
      </c>
      <c r="G71" s="45"/>
      <c r="H71" s="77">
        <f>A71</f>
        <v>1000</v>
      </c>
      <c r="I71" s="22" t="str">
        <f t="shared" ref="I71:I95" si="19">B71</f>
        <v>ml</v>
      </c>
      <c r="J71" s="11"/>
      <c r="K71" s="26">
        <f>+J71*H71</f>
        <v>0</v>
      </c>
    </row>
    <row r="72" spans="1:13" ht="102" x14ac:dyDescent="0.25">
      <c r="A72" s="77">
        <v>900</v>
      </c>
      <c r="B72" s="78" t="s">
        <v>67</v>
      </c>
      <c r="C72" s="56" t="s">
        <v>110</v>
      </c>
      <c r="D72" s="79" t="s">
        <v>111</v>
      </c>
      <c r="E72" s="80">
        <v>4</v>
      </c>
      <c r="F72" s="81">
        <f t="shared" si="18"/>
        <v>3600</v>
      </c>
      <c r="G72" s="45"/>
      <c r="H72" s="77">
        <f t="shared" ref="H72:H73" si="20">A72</f>
        <v>900</v>
      </c>
      <c r="I72" s="22" t="str">
        <f t="shared" si="19"/>
        <v>ml</v>
      </c>
      <c r="J72" s="11"/>
      <c r="K72" s="26">
        <f>+J72*H72</f>
        <v>0</v>
      </c>
    </row>
    <row r="73" spans="1:13" ht="102" x14ac:dyDescent="0.25">
      <c r="A73" s="77">
        <v>100</v>
      </c>
      <c r="B73" s="78" t="s">
        <v>67</v>
      </c>
      <c r="C73" s="56" t="s">
        <v>112</v>
      </c>
      <c r="D73" s="79" t="s">
        <v>113</v>
      </c>
      <c r="E73" s="80">
        <v>2.5</v>
      </c>
      <c r="F73" s="81">
        <f t="shared" si="18"/>
        <v>250</v>
      </c>
      <c r="G73" s="45"/>
      <c r="H73" s="77">
        <f t="shared" si="20"/>
        <v>100</v>
      </c>
      <c r="I73" s="82" t="str">
        <f t="shared" si="19"/>
        <v>ml</v>
      </c>
      <c r="J73" s="11"/>
      <c r="K73" s="61">
        <f>+J73*H73</f>
        <v>0</v>
      </c>
    </row>
    <row r="74" spans="1:13" s="27" customFormat="1" x14ac:dyDescent="0.25">
      <c r="A74" s="218" t="s">
        <v>114</v>
      </c>
      <c r="B74" s="218"/>
      <c r="C74" s="218"/>
      <c r="D74" s="218"/>
      <c r="E74" s="218"/>
      <c r="F74" s="218"/>
      <c r="G74" s="45"/>
      <c r="H74" s="215" t="str">
        <f>A74</f>
        <v>CGBT</v>
      </c>
      <c r="I74" s="216"/>
      <c r="J74" s="216"/>
      <c r="K74" s="217"/>
      <c r="L74"/>
      <c r="M74"/>
    </row>
    <row r="75" spans="1:13" ht="51" x14ac:dyDescent="0.25">
      <c r="A75" s="77">
        <v>1</v>
      </c>
      <c r="B75" s="78" t="s">
        <v>33</v>
      </c>
      <c r="C75" s="56" t="s">
        <v>115</v>
      </c>
      <c r="D75" s="79" t="s">
        <v>116</v>
      </c>
      <c r="E75" s="80">
        <v>382</v>
      </c>
      <c r="F75" s="81">
        <f>ROUND(A75*E75,2)</f>
        <v>382</v>
      </c>
      <c r="G75" s="45"/>
      <c r="H75" s="83">
        <f>A75</f>
        <v>1</v>
      </c>
      <c r="I75" s="82" t="str">
        <f t="shared" si="19"/>
        <v>ud</v>
      </c>
      <c r="J75" s="11"/>
      <c r="K75" s="61">
        <f>+J75*H75</f>
        <v>0</v>
      </c>
    </row>
    <row r="76" spans="1:13" s="27" customFormat="1" x14ac:dyDescent="0.25">
      <c r="A76" s="218" t="s">
        <v>117</v>
      </c>
      <c r="B76" s="218"/>
      <c r="C76" s="218"/>
      <c r="D76" s="218"/>
      <c r="E76" s="218"/>
      <c r="F76" s="218"/>
      <c r="G76" s="45"/>
      <c r="H76" s="215" t="str">
        <f>A76</f>
        <v>Cuadro General Centro de Control</v>
      </c>
      <c r="I76" s="216"/>
      <c r="J76" s="216"/>
      <c r="K76" s="217"/>
      <c r="L76"/>
      <c r="M76"/>
    </row>
    <row r="77" spans="1:13" ht="51" x14ac:dyDescent="0.25">
      <c r="A77" s="77">
        <v>1</v>
      </c>
      <c r="B77" s="78" t="s">
        <v>33</v>
      </c>
      <c r="C77" s="56" t="s">
        <v>493</v>
      </c>
      <c r="D77" s="79" t="s">
        <v>118</v>
      </c>
      <c r="E77" s="80">
        <v>115</v>
      </c>
      <c r="F77" s="81">
        <f t="shared" ref="F77:F79" si="21">ROUND(A77*E77,2)</f>
        <v>115</v>
      </c>
      <c r="G77" s="45"/>
      <c r="H77" s="84">
        <f t="shared" ref="H77:H79" si="22">A77</f>
        <v>1</v>
      </c>
      <c r="I77" s="22" t="str">
        <f t="shared" ref="I77:I79" si="23">B77</f>
        <v>ud</v>
      </c>
      <c r="J77" s="11"/>
      <c r="K77" s="26">
        <f>+J77*H77</f>
        <v>0</v>
      </c>
    </row>
    <row r="78" spans="1:13" ht="51" x14ac:dyDescent="0.25">
      <c r="A78" s="77">
        <v>1</v>
      </c>
      <c r="B78" s="78" t="s">
        <v>33</v>
      </c>
      <c r="C78" s="56" t="s">
        <v>489</v>
      </c>
      <c r="D78" s="79" t="s">
        <v>119</v>
      </c>
      <c r="E78" s="80">
        <v>85</v>
      </c>
      <c r="F78" s="81">
        <f t="shared" si="21"/>
        <v>85</v>
      </c>
      <c r="G78" s="45"/>
      <c r="H78" s="84">
        <f t="shared" si="22"/>
        <v>1</v>
      </c>
      <c r="I78" s="22" t="str">
        <f t="shared" si="23"/>
        <v>ud</v>
      </c>
      <c r="J78" s="11"/>
      <c r="K78" s="26">
        <f>+J78*H78</f>
        <v>0</v>
      </c>
    </row>
    <row r="79" spans="1:13" ht="38.25" x14ac:dyDescent="0.25">
      <c r="A79" s="77">
        <v>1</v>
      </c>
      <c r="B79" s="78" t="s">
        <v>33</v>
      </c>
      <c r="C79" s="56" t="s">
        <v>494</v>
      </c>
      <c r="D79" s="79" t="s">
        <v>120</v>
      </c>
      <c r="E79" s="80">
        <v>150</v>
      </c>
      <c r="F79" s="81">
        <f t="shared" si="21"/>
        <v>150</v>
      </c>
      <c r="G79" s="45"/>
      <c r="H79" s="84">
        <f t="shared" si="22"/>
        <v>1</v>
      </c>
      <c r="I79" s="22" t="str">
        <f t="shared" si="23"/>
        <v>ud</v>
      </c>
      <c r="J79" s="11"/>
      <c r="K79" s="26">
        <f t="shared" ref="K79" si="24">+J79*H79</f>
        <v>0</v>
      </c>
    </row>
    <row r="80" spans="1:13" ht="25.5" x14ac:dyDescent="0.25">
      <c r="A80" s="77">
        <v>1</v>
      </c>
      <c r="B80" s="78" t="s">
        <v>33</v>
      </c>
      <c r="C80" s="56" t="s">
        <v>490</v>
      </c>
      <c r="D80" s="79" t="s">
        <v>491</v>
      </c>
      <c r="E80" s="80">
        <v>50</v>
      </c>
      <c r="F80" s="81">
        <f t="shared" ref="F80" si="25">ROUND(A80*E80,2)</f>
        <v>50</v>
      </c>
      <c r="G80" s="45"/>
      <c r="H80" s="84">
        <f t="shared" ref="H80" si="26">A80</f>
        <v>1</v>
      </c>
      <c r="I80" s="22" t="str">
        <f t="shared" si="19"/>
        <v>ud</v>
      </c>
      <c r="J80" s="11"/>
      <c r="K80" s="26">
        <f>+J80*H80</f>
        <v>0</v>
      </c>
    </row>
    <row r="81" spans="1:13" s="27" customFormat="1" x14ac:dyDescent="0.25">
      <c r="A81" s="218" t="s">
        <v>121</v>
      </c>
      <c r="B81" s="218"/>
      <c r="C81" s="218"/>
      <c r="D81" s="218"/>
      <c r="E81" s="218"/>
      <c r="F81" s="218"/>
      <c r="G81" s="45"/>
      <c r="H81" s="215" t="str">
        <f>A81</f>
        <v>Cuadro Secundario Cuarto de Comunicaciones Centro de Control</v>
      </c>
      <c r="I81" s="216"/>
      <c r="J81" s="216"/>
      <c r="K81" s="217"/>
      <c r="L81"/>
      <c r="M81"/>
    </row>
    <row r="82" spans="1:13" ht="63.75" x14ac:dyDescent="0.25">
      <c r="A82" s="77">
        <v>1</v>
      </c>
      <c r="B82" s="78" t="s">
        <v>33</v>
      </c>
      <c r="C82" s="56" t="s">
        <v>122</v>
      </c>
      <c r="D82" s="79" t="s">
        <v>123</v>
      </c>
      <c r="E82" s="80">
        <v>440</v>
      </c>
      <c r="F82" s="81">
        <f>ROUND(A82*E82,2)</f>
        <v>440</v>
      </c>
      <c r="G82" s="45"/>
      <c r="H82" s="84">
        <f>A82</f>
        <v>1</v>
      </c>
      <c r="I82" s="22" t="str">
        <f>B82</f>
        <v>ud</v>
      </c>
      <c r="J82" s="11"/>
      <c r="K82" s="26">
        <f t="shared" ref="K82:K86" si="27">+J82*H82</f>
        <v>0</v>
      </c>
    </row>
    <row r="83" spans="1:13" ht="51" x14ac:dyDescent="0.25">
      <c r="A83" s="77">
        <v>1</v>
      </c>
      <c r="B83" s="78" t="s">
        <v>33</v>
      </c>
      <c r="C83" s="56" t="s">
        <v>124</v>
      </c>
      <c r="D83" s="79" t="s">
        <v>125</v>
      </c>
      <c r="E83" s="80">
        <v>85</v>
      </c>
      <c r="F83" s="81">
        <f t="shared" ref="F83:F86" si="28">ROUND(A83*E83,2)</f>
        <v>85</v>
      </c>
      <c r="G83" s="45"/>
      <c r="H83" s="84">
        <f t="shared" ref="H83:H86" si="29">A83</f>
        <v>1</v>
      </c>
      <c r="I83" s="22" t="str">
        <f t="shared" ref="I83:I86" si="30">B83</f>
        <v>ud</v>
      </c>
      <c r="J83" s="11"/>
      <c r="K83" s="26">
        <f t="shared" si="27"/>
        <v>0</v>
      </c>
    </row>
    <row r="84" spans="1:13" ht="51" x14ac:dyDescent="0.25">
      <c r="A84" s="77">
        <v>3</v>
      </c>
      <c r="B84" s="78" t="s">
        <v>33</v>
      </c>
      <c r="C84" s="56" t="s">
        <v>126</v>
      </c>
      <c r="D84" s="79" t="s">
        <v>127</v>
      </c>
      <c r="E84" s="80">
        <v>40</v>
      </c>
      <c r="F84" s="81">
        <f t="shared" si="28"/>
        <v>120</v>
      </c>
      <c r="G84" s="45"/>
      <c r="H84" s="84">
        <f t="shared" si="29"/>
        <v>3</v>
      </c>
      <c r="I84" s="22" t="str">
        <f t="shared" si="30"/>
        <v>ud</v>
      </c>
      <c r="J84" s="11"/>
      <c r="K84" s="26">
        <f t="shared" si="27"/>
        <v>0</v>
      </c>
    </row>
    <row r="85" spans="1:13" ht="38.25" x14ac:dyDescent="0.25">
      <c r="A85" s="77">
        <v>3</v>
      </c>
      <c r="B85" s="78" t="s">
        <v>33</v>
      </c>
      <c r="C85" s="56" t="s">
        <v>128</v>
      </c>
      <c r="D85" s="79" t="s">
        <v>492</v>
      </c>
      <c r="E85" s="80">
        <v>120</v>
      </c>
      <c r="F85" s="81">
        <f t="shared" si="28"/>
        <v>360</v>
      </c>
      <c r="G85" s="45"/>
      <c r="H85" s="84">
        <f t="shared" si="29"/>
        <v>3</v>
      </c>
      <c r="I85" s="22" t="str">
        <f t="shared" si="30"/>
        <v>ud</v>
      </c>
      <c r="J85" s="11"/>
      <c r="K85" s="26">
        <f t="shared" si="27"/>
        <v>0</v>
      </c>
    </row>
    <row r="86" spans="1:13" ht="38.25" x14ac:dyDescent="0.25">
      <c r="A86" s="77">
        <v>2</v>
      </c>
      <c r="B86" s="78" t="s">
        <v>33</v>
      </c>
      <c r="C86" s="56" t="s">
        <v>129</v>
      </c>
      <c r="D86" s="79" t="s">
        <v>130</v>
      </c>
      <c r="E86" s="80">
        <v>15</v>
      </c>
      <c r="F86" s="81">
        <f t="shared" si="28"/>
        <v>30</v>
      </c>
      <c r="G86" s="45"/>
      <c r="H86" s="84">
        <f t="shared" si="29"/>
        <v>2</v>
      </c>
      <c r="I86" s="22" t="str">
        <f t="shared" si="30"/>
        <v>ud</v>
      </c>
      <c r="J86" s="11"/>
      <c r="K86" s="26">
        <f t="shared" si="27"/>
        <v>0</v>
      </c>
    </row>
    <row r="87" spans="1:13" ht="51" x14ac:dyDescent="0.25">
      <c r="A87" s="77">
        <v>2</v>
      </c>
      <c r="B87" s="78" t="s">
        <v>33</v>
      </c>
      <c r="C87" s="56" t="s">
        <v>135</v>
      </c>
      <c r="D87" s="79" t="s">
        <v>136</v>
      </c>
      <c r="E87" s="80">
        <v>35</v>
      </c>
      <c r="F87" s="81">
        <f>ROUND(A87*E87,2)</f>
        <v>70</v>
      </c>
      <c r="G87" s="45"/>
      <c r="H87" s="84">
        <f>A87</f>
        <v>2</v>
      </c>
      <c r="I87" s="22" t="str">
        <f>B87</f>
        <v>ud</v>
      </c>
      <c r="J87" s="11"/>
      <c r="K87" s="26">
        <f>+J87*H87</f>
        <v>0</v>
      </c>
    </row>
    <row r="88" spans="1:13" ht="38.25" x14ac:dyDescent="0.25">
      <c r="A88" s="77">
        <v>3</v>
      </c>
      <c r="B88" s="78" t="s">
        <v>33</v>
      </c>
      <c r="C88" s="56" t="s">
        <v>131</v>
      </c>
      <c r="D88" s="79" t="s">
        <v>132</v>
      </c>
      <c r="E88" s="80">
        <v>15</v>
      </c>
      <c r="F88" s="81">
        <f t="shared" ref="F88:F90" si="31">ROUND(A88*E88,2)</f>
        <v>45</v>
      </c>
      <c r="G88" s="45"/>
      <c r="H88" s="84">
        <f t="shared" ref="H88:H90" si="32">A88</f>
        <v>3</v>
      </c>
      <c r="I88" s="22" t="str">
        <f t="shared" ref="I88:I90" si="33">B88</f>
        <v>ud</v>
      </c>
      <c r="J88" s="11"/>
      <c r="K88" s="26">
        <f t="shared" ref="K88:K90" si="34">+J88*H88</f>
        <v>0</v>
      </c>
    </row>
    <row r="89" spans="1:13" ht="38.25" x14ac:dyDescent="0.25">
      <c r="A89" s="77">
        <v>1</v>
      </c>
      <c r="B89" s="78" t="s">
        <v>33</v>
      </c>
      <c r="C89" s="56" t="s">
        <v>129</v>
      </c>
      <c r="D89" s="79" t="s">
        <v>130</v>
      </c>
      <c r="E89" s="80">
        <v>15</v>
      </c>
      <c r="F89" s="81">
        <f t="shared" si="31"/>
        <v>15</v>
      </c>
      <c r="G89" s="45"/>
      <c r="H89" s="84">
        <f t="shared" si="32"/>
        <v>1</v>
      </c>
      <c r="I89" s="22" t="str">
        <f t="shared" si="33"/>
        <v>ud</v>
      </c>
      <c r="J89" s="11"/>
      <c r="K89" s="26">
        <f t="shared" si="34"/>
        <v>0</v>
      </c>
    </row>
    <row r="90" spans="1:13" ht="38.25" x14ac:dyDescent="0.25">
      <c r="A90" s="77">
        <v>1</v>
      </c>
      <c r="B90" s="78" t="s">
        <v>33</v>
      </c>
      <c r="C90" s="56" t="s">
        <v>133</v>
      </c>
      <c r="D90" s="79" t="s">
        <v>134</v>
      </c>
      <c r="E90" s="80">
        <v>12</v>
      </c>
      <c r="F90" s="81">
        <f t="shared" si="31"/>
        <v>12</v>
      </c>
      <c r="G90" s="45"/>
      <c r="H90" s="84">
        <f t="shared" si="32"/>
        <v>1</v>
      </c>
      <c r="I90" s="22" t="str">
        <f t="shared" si="33"/>
        <v>ud</v>
      </c>
      <c r="J90" s="11"/>
      <c r="K90" s="26">
        <f t="shared" si="34"/>
        <v>0</v>
      </c>
    </row>
    <row r="91" spans="1:13" ht="51" x14ac:dyDescent="0.25">
      <c r="A91" s="77">
        <v>1</v>
      </c>
      <c r="B91" s="78" t="s">
        <v>33</v>
      </c>
      <c r="C91" s="56" t="s">
        <v>135</v>
      </c>
      <c r="D91" s="79" t="s">
        <v>136</v>
      </c>
      <c r="E91" s="80">
        <v>35</v>
      </c>
      <c r="F91" s="81">
        <f>ROUND(A91*E91,2)</f>
        <v>35</v>
      </c>
      <c r="G91" s="45"/>
      <c r="H91" s="84">
        <f>A91</f>
        <v>1</v>
      </c>
      <c r="I91" s="22" t="str">
        <f>B91</f>
        <v>ud</v>
      </c>
      <c r="J91" s="11"/>
      <c r="K91" s="26">
        <f>+J91*H91</f>
        <v>0</v>
      </c>
    </row>
    <row r="92" spans="1:13" ht="51" x14ac:dyDescent="0.25">
      <c r="A92" s="77">
        <v>4</v>
      </c>
      <c r="B92" s="78" t="s">
        <v>33</v>
      </c>
      <c r="C92" s="56" t="s">
        <v>137</v>
      </c>
      <c r="D92" s="79" t="s">
        <v>138</v>
      </c>
      <c r="E92" s="80">
        <v>27</v>
      </c>
      <c r="F92" s="81">
        <f t="shared" ref="F92" si="35">ROUND(A92*E92,2)</f>
        <v>108</v>
      </c>
      <c r="G92" s="45"/>
      <c r="H92" s="84">
        <f t="shared" ref="H92" si="36">A92</f>
        <v>4</v>
      </c>
      <c r="I92" s="82" t="str">
        <f t="shared" ref="I92" si="37">B92</f>
        <v>ud</v>
      </c>
      <c r="J92" s="11"/>
      <c r="K92" s="61">
        <f t="shared" ref="K92" si="38">+J92*H92</f>
        <v>0</v>
      </c>
    </row>
    <row r="93" spans="1:13" s="27" customFormat="1" x14ac:dyDescent="0.25">
      <c r="A93" s="218" t="s">
        <v>495</v>
      </c>
      <c r="B93" s="218"/>
      <c r="C93" s="218"/>
      <c r="D93" s="218"/>
      <c r="E93" s="218"/>
      <c r="F93" s="218"/>
      <c r="G93" s="45"/>
      <c r="H93" s="215" t="str">
        <f>A93</f>
        <v>Cuadro Secundario Cuarto de Comunicaciones</v>
      </c>
      <c r="I93" s="216"/>
      <c r="J93" s="216"/>
      <c r="K93" s="217"/>
      <c r="L93"/>
      <c r="M93"/>
    </row>
    <row r="94" spans="1:13" ht="38.25" x14ac:dyDescent="0.25">
      <c r="A94" s="77">
        <v>1</v>
      </c>
      <c r="B94" s="78" t="s">
        <v>33</v>
      </c>
      <c r="C94" s="56" t="s">
        <v>496</v>
      </c>
      <c r="D94" s="79" t="s">
        <v>497</v>
      </c>
      <c r="E94" s="80">
        <v>20</v>
      </c>
      <c r="F94" s="81">
        <f t="shared" ref="F94" si="39">ROUND(A94*E94,2)</f>
        <v>20</v>
      </c>
      <c r="G94" s="45"/>
      <c r="H94" s="84">
        <f t="shared" ref="H94:H95" si="40">A94</f>
        <v>1</v>
      </c>
      <c r="I94" s="22" t="str">
        <f t="shared" si="19"/>
        <v>ud</v>
      </c>
      <c r="J94" s="11"/>
      <c r="K94" s="26">
        <f t="shared" ref="K94:K95" si="41">+J94*H94</f>
        <v>0</v>
      </c>
    </row>
    <row r="95" spans="1:13" ht="38.25" x14ac:dyDescent="0.25">
      <c r="A95" s="77">
        <v>2</v>
      </c>
      <c r="B95" s="78" t="s">
        <v>33</v>
      </c>
      <c r="C95" s="56" t="s">
        <v>129</v>
      </c>
      <c r="D95" s="79" t="s">
        <v>130</v>
      </c>
      <c r="E95" s="80">
        <v>15</v>
      </c>
      <c r="F95" s="81">
        <f t="shared" ref="F95" si="42">ROUND(A95*E95,2)</f>
        <v>30</v>
      </c>
      <c r="G95" s="45"/>
      <c r="H95" s="84">
        <f t="shared" si="40"/>
        <v>2</v>
      </c>
      <c r="I95" s="22" t="str">
        <f t="shared" si="19"/>
        <v>ud</v>
      </c>
      <c r="J95" s="11"/>
      <c r="K95" s="26">
        <f t="shared" si="41"/>
        <v>0</v>
      </c>
    </row>
    <row r="96" spans="1:13" ht="38.25" x14ac:dyDescent="0.25">
      <c r="A96" s="77">
        <v>1</v>
      </c>
      <c r="B96" s="78" t="s">
        <v>33</v>
      </c>
      <c r="C96" s="56" t="s">
        <v>131</v>
      </c>
      <c r="D96" s="79" t="s">
        <v>132</v>
      </c>
      <c r="E96" s="80">
        <v>15</v>
      </c>
      <c r="F96" s="81">
        <f>ROUND(A96*E96,2)</f>
        <v>15</v>
      </c>
      <c r="G96" s="45"/>
      <c r="H96" s="84">
        <f>A96</f>
        <v>1</v>
      </c>
      <c r="I96" s="22" t="str">
        <f>B96</f>
        <v>ud</v>
      </c>
      <c r="J96" s="11"/>
      <c r="K96" s="26">
        <f>+J96*H96</f>
        <v>0</v>
      </c>
    </row>
    <row r="97" spans="1:13" ht="51" x14ac:dyDescent="0.25">
      <c r="A97" s="77">
        <v>4</v>
      </c>
      <c r="B97" s="78" t="s">
        <v>33</v>
      </c>
      <c r="C97" s="56" t="s">
        <v>135</v>
      </c>
      <c r="D97" s="79" t="s">
        <v>136</v>
      </c>
      <c r="E97" s="80">
        <v>35</v>
      </c>
      <c r="F97" s="81">
        <f>ROUND(A97*E97,2)</f>
        <v>140</v>
      </c>
      <c r="G97" s="45"/>
      <c r="H97" s="84">
        <f>A97</f>
        <v>4</v>
      </c>
      <c r="I97" s="22" t="str">
        <f>B97</f>
        <v>ud</v>
      </c>
      <c r="J97" s="11"/>
      <c r="K97" s="26">
        <f>+J97*H97</f>
        <v>0</v>
      </c>
    </row>
    <row r="98" spans="1:13" s="27" customFormat="1" x14ac:dyDescent="0.25">
      <c r="A98" s="218" t="s">
        <v>139</v>
      </c>
      <c r="B98" s="218"/>
      <c r="C98" s="218"/>
      <c r="D98" s="218"/>
      <c r="E98" s="218"/>
      <c r="F98" s="218"/>
      <c r="G98" s="45"/>
      <c r="H98" s="215" t="str">
        <f>A98</f>
        <v>Documentación y legalización de la instalación eléctrica</v>
      </c>
      <c r="I98" s="216"/>
      <c r="J98" s="216"/>
      <c r="K98" s="217"/>
      <c r="L98"/>
      <c r="M98"/>
    </row>
    <row r="99" spans="1:13" s="27" customFormat="1" ht="76.5" x14ac:dyDescent="0.2">
      <c r="A99" s="77">
        <v>1</v>
      </c>
      <c r="B99" s="78" t="s">
        <v>33</v>
      </c>
      <c r="C99" s="56" t="s">
        <v>140</v>
      </c>
      <c r="D99" s="79" t="s">
        <v>141</v>
      </c>
      <c r="E99" s="80">
        <v>519.5</v>
      </c>
      <c r="F99" s="81">
        <f>ROUND(A99*E99,2)</f>
        <v>519.5</v>
      </c>
      <c r="G99" s="45"/>
      <c r="H99" s="83">
        <f>A99</f>
        <v>1</v>
      </c>
      <c r="I99" s="85" t="str">
        <f>B99</f>
        <v>ud</v>
      </c>
      <c r="J99" s="11"/>
      <c r="K99" s="61">
        <f>+J99*H99</f>
        <v>0</v>
      </c>
    </row>
    <row r="100" spans="1:13" x14ac:dyDescent="0.25">
      <c r="A100" s="218" t="s">
        <v>95</v>
      </c>
      <c r="B100" s="218"/>
      <c r="C100" s="218"/>
      <c r="D100" s="218"/>
      <c r="E100" s="218"/>
      <c r="F100" s="218"/>
      <c r="G100" s="45"/>
      <c r="H100" s="215" t="str">
        <f>A100</f>
        <v>Partidas auxiliares</v>
      </c>
      <c r="I100" s="216"/>
      <c r="J100" s="216"/>
      <c r="K100" s="217"/>
      <c r="L100" s="27"/>
      <c r="M100" s="27"/>
    </row>
    <row r="101" spans="1:13" s="27" customFormat="1" ht="25.5" x14ac:dyDescent="0.2">
      <c r="A101" s="84">
        <v>1</v>
      </c>
      <c r="B101" s="22" t="s">
        <v>33</v>
      </c>
      <c r="C101" s="31" t="s">
        <v>96</v>
      </c>
      <c r="D101" s="31" t="s">
        <v>97</v>
      </c>
      <c r="E101" s="25">
        <f>0.02*(SUM(F69:F99))</f>
        <v>1443.78</v>
      </c>
      <c r="F101" s="52">
        <f>ROUND(A101*E101,2)</f>
        <v>1443.78</v>
      </c>
      <c r="G101" s="45"/>
      <c r="H101" s="21">
        <f>A101</f>
        <v>1</v>
      </c>
      <c r="I101" s="51" t="str">
        <f t="shared" ref="I101:I102" si="43">B101</f>
        <v>ud</v>
      </c>
      <c r="J101" s="62">
        <f>E101</f>
        <v>1443.78</v>
      </c>
      <c r="K101" s="26">
        <f>+J101*H101</f>
        <v>1443.78</v>
      </c>
    </row>
    <row r="102" spans="1:13" s="27" customFormat="1" ht="25.5" x14ac:dyDescent="0.2">
      <c r="A102" s="198">
        <v>1</v>
      </c>
      <c r="B102" s="33" t="s">
        <v>33</v>
      </c>
      <c r="C102" s="34" t="s">
        <v>98</v>
      </c>
      <c r="D102" s="34" t="s">
        <v>99</v>
      </c>
      <c r="E102" s="35">
        <f>0.02*(SUM(F69:F99))</f>
        <v>1443.78</v>
      </c>
      <c r="F102" s="63">
        <f>ROUND(A102*E102,2)</f>
        <v>1443.78</v>
      </c>
      <c r="G102" s="45"/>
      <c r="H102" s="21">
        <f>A102</f>
        <v>1</v>
      </c>
      <c r="I102" s="64" t="str">
        <f t="shared" si="43"/>
        <v>ud</v>
      </c>
      <c r="J102" s="65">
        <f>E102</f>
        <v>1443.78</v>
      </c>
      <c r="K102" s="36">
        <f>+J102*H102</f>
        <v>1443.78</v>
      </c>
    </row>
    <row r="103" spans="1:13" x14ac:dyDescent="0.25">
      <c r="A103" s="37"/>
      <c r="B103" s="37"/>
      <c r="C103" s="38"/>
      <c r="D103" s="38"/>
      <c r="E103" s="39" t="s">
        <v>72</v>
      </c>
      <c r="F103" s="40">
        <f>SUM(F69:F102)</f>
        <v>75076.56</v>
      </c>
      <c r="G103" s="45"/>
      <c r="H103" s="37"/>
      <c r="I103" s="37"/>
      <c r="J103" s="66" t="s">
        <v>72</v>
      </c>
      <c r="K103" s="40">
        <f>SUM(K69:K102)</f>
        <v>2887.56</v>
      </c>
      <c r="L103" s="27"/>
    </row>
    <row r="104" spans="1:13" x14ac:dyDescent="0.25">
      <c r="A104" s="42"/>
      <c r="B104" s="42"/>
      <c r="C104" s="43"/>
      <c r="D104" s="43"/>
      <c r="E104" s="43"/>
      <c r="F104" s="43"/>
      <c r="G104" s="45"/>
      <c r="H104" s="42"/>
      <c r="I104" s="42"/>
      <c r="J104" s="43"/>
      <c r="K104" s="43"/>
      <c r="L104" s="43"/>
      <c r="M104" s="43"/>
    </row>
    <row r="105" spans="1:13" x14ac:dyDescent="0.25">
      <c r="A105" s="219" t="s">
        <v>438</v>
      </c>
      <c r="B105" s="220"/>
      <c r="C105" s="221"/>
      <c r="D105" s="44"/>
      <c r="E105" s="45"/>
      <c r="F105" s="45"/>
      <c r="G105" s="45"/>
      <c r="H105" s="219" t="str">
        <f>A105</f>
        <v>5.- Sistema de Alimentación Ininterrumpida</v>
      </c>
      <c r="I105" s="220"/>
      <c r="J105" s="221"/>
      <c r="K105" s="44"/>
      <c r="L105" s="44"/>
      <c r="M105" s="44"/>
    </row>
    <row r="106" spans="1:13" ht="25.5" x14ac:dyDescent="0.25">
      <c r="A106" s="222" t="s">
        <v>59</v>
      </c>
      <c r="B106" s="222"/>
      <c r="C106" s="19" t="s">
        <v>60</v>
      </c>
      <c r="D106" s="19" t="s">
        <v>61</v>
      </c>
      <c r="E106" s="20" t="s">
        <v>62</v>
      </c>
      <c r="F106" s="14" t="s">
        <v>63</v>
      </c>
      <c r="G106" s="45"/>
      <c r="H106" s="222" t="s">
        <v>59</v>
      </c>
      <c r="I106" s="222"/>
      <c r="J106" s="19" t="str">
        <f>E106</f>
        <v>P/U</v>
      </c>
      <c r="K106" s="20" t="s">
        <v>55</v>
      </c>
    </row>
    <row r="107" spans="1:13" x14ac:dyDescent="0.25">
      <c r="A107" s="72">
        <v>1</v>
      </c>
      <c r="B107" s="78" t="s">
        <v>33</v>
      </c>
      <c r="C107" s="46" t="s">
        <v>619</v>
      </c>
      <c r="D107" s="74" t="s">
        <v>620</v>
      </c>
      <c r="E107" s="75">
        <v>5500</v>
      </c>
      <c r="F107" s="76">
        <f>ROUND(A107*E107,2)</f>
        <v>5500</v>
      </c>
      <c r="G107" s="45"/>
      <c r="H107" s="72">
        <f>A107</f>
        <v>1</v>
      </c>
      <c r="I107" s="29" t="str">
        <f>B107</f>
        <v>ud</v>
      </c>
      <c r="J107" s="10"/>
      <c r="K107" s="30">
        <f>+J107*H107</f>
        <v>0</v>
      </c>
    </row>
    <row r="108" spans="1:13" ht="25.5" x14ac:dyDescent="0.25">
      <c r="A108" s="77">
        <v>80</v>
      </c>
      <c r="B108" s="78" t="s">
        <v>33</v>
      </c>
      <c r="C108" s="56" t="s">
        <v>617</v>
      </c>
      <c r="D108" s="79" t="s">
        <v>618</v>
      </c>
      <c r="E108" s="80">
        <v>55</v>
      </c>
      <c r="F108" s="81">
        <f t="shared" ref="F108" si="44">ROUND(A108*E108,2)</f>
        <v>4400</v>
      </c>
      <c r="G108" s="45"/>
      <c r="H108" s="77">
        <f>A108</f>
        <v>80</v>
      </c>
      <c r="I108" s="22" t="str">
        <f t="shared" ref="I108" si="45">B108</f>
        <v>ud</v>
      </c>
      <c r="J108" s="11"/>
      <c r="K108" s="26">
        <f>+J108*H108</f>
        <v>0</v>
      </c>
    </row>
    <row r="109" spans="1:13" s="27" customFormat="1" x14ac:dyDescent="0.25">
      <c r="A109" s="218" t="s">
        <v>621</v>
      </c>
      <c r="B109" s="218"/>
      <c r="C109" s="218"/>
      <c r="D109" s="218"/>
      <c r="E109" s="218"/>
      <c r="F109" s="218"/>
      <c r="G109" s="45"/>
      <c r="H109" s="215" t="str">
        <f>A109</f>
        <v>Cuadro General SAI</v>
      </c>
      <c r="I109" s="216"/>
      <c r="J109" s="216"/>
      <c r="K109" s="217"/>
      <c r="L109"/>
      <c r="M109"/>
    </row>
    <row r="110" spans="1:13" ht="51" x14ac:dyDescent="0.25">
      <c r="A110" s="77">
        <v>2</v>
      </c>
      <c r="B110" s="78" t="s">
        <v>33</v>
      </c>
      <c r="C110" s="56" t="s">
        <v>126</v>
      </c>
      <c r="D110" s="79" t="s">
        <v>127</v>
      </c>
      <c r="E110" s="80">
        <v>40</v>
      </c>
      <c r="F110" s="81">
        <f t="shared" ref="F110:F111" si="46">ROUND(A110*E110,2)</f>
        <v>80</v>
      </c>
      <c r="G110" s="45"/>
      <c r="H110" s="84">
        <f t="shared" ref="H110:H111" si="47">A110</f>
        <v>2</v>
      </c>
      <c r="I110" s="22" t="str">
        <f t="shared" ref="I110:I111" si="48">B110</f>
        <v>ud</v>
      </c>
      <c r="J110" s="11"/>
      <c r="K110" s="26">
        <f t="shared" ref="K110:K111" si="49">+J110*H110</f>
        <v>0</v>
      </c>
    </row>
    <row r="111" spans="1:13" ht="38.25" x14ac:dyDescent="0.25">
      <c r="A111" s="77">
        <v>2</v>
      </c>
      <c r="B111" s="78" t="s">
        <v>33</v>
      </c>
      <c r="C111" s="56" t="s">
        <v>128</v>
      </c>
      <c r="D111" s="79" t="s">
        <v>492</v>
      </c>
      <c r="E111" s="80">
        <v>120</v>
      </c>
      <c r="F111" s="81">
        <f t="shared" si="46"/>
        <v>240</v>
      </c>
      <c r="G111" s="45"/>
      <c r="H111" s="84">
        <f t="shared" si="47"/>
        <v>2</v>
      </c>
      <c r="I111" s="22" t="str">
        <f t="shared" si="48"/>
        <v>ud</v>
      </c>
      <c r="J111" s="11"/>
      <c r="K111" s="26">
        <f t="shared" si="49"/>
        <v>0</v>
      </c>
    </row>
    <row r="112" spans="1:13" s="27" customFormat="1" x14ac:dyDescent="0.25">
      <c r="A112" s="218" t="s">
        <v>139</v>
      </c>
      <c r="B112" s="218"/>
      <c r="C112" s="218"/>
      <c r="D112" s="218"/>
      <c r="E112" s="218"/>
      <c r="F112" s="218"/>
      <c r="G112" s="45"/>
      <c r="H112" s="215" t="str">
        <f>A112</f>
        <v>Documentación y legalización de la instalación eléctrica</v>
      </c>
      <c r="I112" s="216"/>
      <c r="J112" s="216"/>
      <c r="K112" s="217"/>
      <c r="L112"/>
      <c r="M112"/>
    </row>
    <row r="113" spans="1:13" s="27" customFormat="1" ht="76.5" x14ac:dyDescent="0.2">
      <c r="A113" s="77">
        <v>1</v>
      </c>
      <c r="B113" s="78" t="s">
        <v>33</v>
      </c>
      <c r="C113" s="56" t="s">
        <v>140</v>
      </c>
      <c r="D113" s="79" t="s">
        <v>141</v>
      </c>
      <c r="E113" s="80">
        <v>519.5</v>
      </c>
      <c r="F113" s="81">
        <f>ROUND(A113*E113,2)</f>
        <v>519.5</v>
      </c>
      <c r="G113" s="45"/>
      <c r="H113" s="83">
        <f>A113</f>
        <v>1</v>
      </c>
      <c r="I113" s="85" t="str">
        <f>B113</f>
        <v>ud</v>
      </c>
      <c r="J113" s="11"/>
      <c r="K113" s="61">
        <f>+J113*H113</f>
        <v>0</v>
      </c>
    </row>
    <row r="114" spans="1:13" x14ac:dyDescent="0.25">
      <c r="A114" s="218" t="s">
        <v>95</v>
      </c>
      <c r="B114" s="218"/>
      <c r="C114" s="218"/>
      <c r="D114" s="218"/>
      <c r="E114" s="218"/>
      <c r="F114" s="218"/>
      <c r="G114" s="45"/>
      <c r="H114" s="215" t="str">
        <f>A114</f>
        <v>Partidas auxiliares</v>
      </c>
      <c r="I114" s="216"/>
      <c r="J114" s="216"/>
      <c r="K114" s="217"/>
      <c r="L114" s="27"/>
      <c r="M114" s="27"/>
    </row>
    <row r="115" spans="1:13" s="27" customFormat="1" ht="25.5" x14ac:dyDescent="0.2">
      <c r="A115" s="84">
        <v>1</v>
      </c>
      <c r="B115" s="22" t="s">
        <v>33</v>
      </c>
      <c r="C115" s="31" t="s">
        <v>96</v>
      </c>
      <c r="D115" s="31" t="s">
        <v>97</v>
      </c>
      <c r="E115" s="25">
        <f>0.05*(SUM(F107:F113))</f>
        <v>536.97500000000002</v>
      </c>
      <c r="F115" s="52">
        <f>ROUND(A115*E115,2)</f>
        <v>536.98</v>
      </c>
      <c r="G115" s="45"/>
      <c r="H115" s="21">
        <f>A115</f>
        <v>1</v>
      </c>
      <c r="I115" s="51" t="str">
        <f t="shared" ref="I115:I116" si="50">B115</f>
        <v>ud</v>
      </c>
      <c r="J115" s="62">
        <f>E115</f>
        <v>536.97500000000002</v>
      </c>
      <c r="K115" s="26">
        <f>+J115*H115</f>
        <v>536.97500000000002</v>
      </c>
    </row>
    <row r="116" spans="1:13" s="27" customFormat="1" ht="25.5" x14ac:dyDescent="0.2">
      <c r="A116" s="198">
        <v>1</v>
      </c>
      <c r="B116" s="33" t="s">
        <v>33</v>
      </c>
      <c r="C116" s="34" t="s">
        <v>98</v>
      </c>
      <c r="D116" s="34" t="s">
        <v>99</v>
      </c>
      <c r="E116" s="35">
        <f>0.05*(SUM(F107:F113))</f>
        <v>536.97500000000002</v>
      </c>
      <c r="F116" s="63">
        <f>ROUND(A116*E116,2)</f>
        <v>536.98</v>
      </c>
      <c r="G116" s="45"/>
      <c r="H116" s="21">
        <f>A116</f>
        <v>1</v>
      </c>
      <c r="I116" s="64" t="str">
        <f t="shared" si="50"/>
        <v>ud</v>
      </c>
      <c r="J116" s="65">
        <f>E116</f>
        <v>536.97500000000002</v>
      </c>
      <c r="K116" s="36">
        <f>+J116*H116</f>
        <v>536.97500000000002</v>
      </c>
    </row>
    <row r="117" spans="1:13" x14ac:dyDescent="0.25">
      <c r="A117" s="37"/>
      <c r="B117" s="37"/>
      <c r="C117" s="38"/>
      <c r="D117" s="38"/>
      <c r="E117" s="39" t="s">
        <v>72</v>
      </c>
      <c r="F117" s="40">
        <f>SUM(F107:F116)</f>
        <v>11813.46</v>
      </c>
      <c r="G117" s="45"/>
      <c r="H117" s="37"/>
      <c r="I117" s="37"/>
      <c r="J117" s="66" t="s">
        <v>72</v>
      </c>
      <c r="K117" s="40">
        <f>SUM(K107:K116)</f>
        <v>1073.95</v>
      </c>
      <c r="L117" s="27"/>
    </row>
    <row r="118" spans="1:13" x14ac:dyDescent="0.25">
      <c r="A118" s="42"/>
      <c r="B118" s="42"/>
      <c r="C118" s="43"/>
      <c r="D118" s="43"/>
      <c r="E118" s="43"/>
      <c r="F118" s="43"/>
      <c r="G118" s="45"/>
      <c r="H118" s="42"/>
      <c r="I118" s="42"/>
      <c r="J118" s="43"/>
      <c r="K118" s="43"/>
      <c r="L118" s="43"/>
      <c r="M118" s="43"/>
    </row>
    <row r="119" spans="1:13" x14ac:dyDescent="0.25">
      <c r="A119" s="223" t="s">
        <v>142</v>
      </c>
      <c r="B119" s="224"/>
      <c r="C119" s="224"/>
      <c r="D119" s="224"/>
      <c r="E119" s="224"/>
      <c r="F119" s="86">
        <f>D18</f>
        <v>242714.31999999998</v>
      </c>
      <c r="G119" s="45"/>
      <c r="H119" s="223" t="str">
        <f>A119</f>
        <v>IMPORTE NETO</v>
      </c>
      <c r="I119" s="224"/>
      <c r="J119" s="224"/>
      <c r="K119" s="87">
        <f>K18</f>
        <v>12034.02</v>
      </c>
      <c r="L119" s="43"/>
    </row>
  </sheetData>
  <sheetProtection algorithmName="SHA-512" hashValue="COV+R4lOjyECogWr1UeLNB4vRoakenm1TFbCpHq4hswdfv3pDqStIeyWNAZaj44Mm2tj94EHTyqVqtorxkbHAQ==" saltValue="mhiC7HIcE0GRBmJv8qFnBw==" spinCount="100000" sheet="1" selectLockedCells="1"/>
  <mergeCells count="52">
    <mergeCell ref="A112:F112"/>
    <mergeCell ref="H112:K112"/>
    <mergeCell ref="A114:F114"/>
    <mergeCell ref="H114:K114"/>
    <mergeCell ref="D3:J6"/>
    <mergeCell ref="C10:D10"/>
    <mergeCell ref="J10:K10"/>
    <mergeCell ref="J20:K20"/>
    <mergeCell ref="A22:C22"/>
    <mergeCell ref="H22:J22"/>
    <mergeCell ref="A23:B23"/>
    <mergeCell ref="H23:I23"/>
    <mergeCell ref="A24:F24"/>
    <mergeCell ref="A25:F25"/>
    <mergeCell ref="H25:K25"/>
    <mergeCell ref="H24:K24"/>
    <mergeCell ref="A56:C56"/>
    <mergeCell ref="H56:J56"/>
    <mergeCell ref="A57:B57"/>
    <mergeCell ref="H57:I57"/>
    <mergeCell ref="H51:K51"/>
    <mergeCell ref="A34:C34"/>
    <mergeCell ref="H34:J34"/>
    <mergeCell ref="A35:B35"/>
    <mergeCell ref="H35:I35"/>
    <mergeCell ref="A51:F51"/>
    <mergeCell ref="A119:E119"/>
    <mergeCell ref="H100:K100"/>
    <mergeCell ref="H119:J119"/>
    <mergeCell ref="A76:F76"/>
    <mergeCell ref="A93:F93"/>
    <mergeCell ref="A98:F98"/>
    <mergeCell ref="H76:K76"/>
    <mergeCell ref="H93:K93"/>
    <mergeCell ref="H98:K98"/>
    <mergeCell ref="A105:C105"/>
    <mergeCell ref="H105:J105"/>
    <mergeCell ref="A106:B106"/>
    <mergeCell ref="H106:I106"/>
    <mergeCell ref="A109:F109"/>
    <mergeCell ref="H109:K109"/>
    <mergeCell ref="A81:F81"/>
    <mergeCell ref="H81:K81"/>
    <mergeCell ref="A62:F62"/>
    <mergeCell ref="H62:K62"/>
    <mergeCell ref="A100:F100"/>
    <mergeCell ref="A67:C67"/>
    <mergeCell ref="H67:J67"/>
    <mergeCell ref="A68:B68"/>
    <mergeCell ref="H68:I68"/>
    <mergeCell ref="A74:F74"/>
    <mergeCell ref="H74:K74"/>
  </mergeCells>
  <dataValidations count="3">
    <dataValidation type="whole" allowBlank="1" showInputMessage="1" showErrorMessage="1" error="Introducir Unidades" sqref="H23 H35 H68 H106 H57:H61" xr:uid="{060F3625-AB87-4A96-9087-20FCEE1FC67D}">
      <formula1>1</formula1>
      <formula2>1000</formula2>
    </dataValidation>
    <dataValidation type="decimal" allowBlank="1" showInputMessage="1" showErrorMessage="1" error="Introducir Precio Unitario" sqref="L10" xr:uid="{B783EC97-164C-43CF-AF45-285225E99DEE}">
      <formula1>1</formula1>
      <formula2>100000</formula2>
    </dataValidation>
    <dataValidation allowBlank="1" showInputMessage="1" sqref="L98:M98 L74:M74 I99 J32 L32 I101:J102 H52:J53 L76:M76 L93:M93 H74 H76 H93 H98 I113 H36:I50 L112:M112 H63:J64 I115:J116 L109:M109 H109 H112 L81:M81 K82 H81 I82 H26:I31" xr:uid="{B0E9323E-121E-4A6C-BC93-30BF5D314EE7}"/>
  </dataValidations>
  <pageMargins left="0.7" right="0.7" top="0.75" bottom="0.75" header="0.3" footer="0.3"/>
  <pageSetup paperSize="9" orientation="portrait" r:id="rId1"/>
  <customProperties>
    <customPr name="_pios_id" r:id="rId2"/>
  </customProperties>
  <ignoredErrors>
    <ignoredError sqref="E27" formula="1"/>
    <ignoredError sqref="H26 J52:J53" unlockedFormula="1"/>
  </ignoredError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3465F-2957-4553-BD92-4D13DC75BBB4}">
  <dimension ref="A3:M94"/>
  <sheetViews>
    <sheetView showGridLines="0" showRowColHeaders="0" topLeftCell="A11" zoomScale="85" zoomScaleNormal="85" workbookViewId="0">
      <selection activeCell="J22" sqref="J22"/>
    </sheetView>
  </sheetViews>
  <sheetFormatPr baseColWidth="10" defaultColWidth="11.42578125" defaultRowHeight="12.75" x14ac:dyDescent="0.2"/>
  <cols>
    <col min="1" max="1" width="6.5703125" style="27" customWidth="1"/>
    <col min="2" max="2" width="3" style="27" customWidth="1"/>
    <col min="3" max="3" width="59.140625" style="27" customWidth="1"/>
    <col min="4" max="4" width="25.42578125" style="27" bestFit="1" customWidth="1"/>
    <col min="5" max="5" width="14.7109375" style="27" bestFit="1" customWidth="1"/>
    <col min="6" max="6" width="14.7109375" style="27" customWidth="1"/>
    <col min="7" max="7" width="11.5703125" style="27" customWidth="1"/>
    <col min="8" max="8" width="6.5703125" style="27" customWidth="1"/>
    <col min="9" max="9" width="3" style="27" customWidth="1"/>
    <col min="10" max="10" width="59.140625" style="27" customWidth="1"/>
    <col min="11" max="11" width="23.85546875" style="27" customWidth="1"/>
    <col min="12" max="13" width="14.7109375" style="27" customWidth="1"/>
    <col min="14" max="16384" width="11.42578125" style="27"/>
  </cols>
  <sheetData>
    <row r="3" spans="3:12" x14ac:dyDescent="0.2">
      <c r="D3" s="225" t="s">
        <v>422</v>
      </c>
      <c r="E3" s="226"/>
      <c r="F3" s="226"/>
      <c r="G3" s="226"/>
      <c r="H3" s="226"/>
      <c r="I3" s="226"/>
      <c r="J3" s="226"/>
    </row>
    <row r="4" spans="3:12" x14ac:dyDescent="0.2">
      <c r="D4" s="225"/>
      <c r="E4" s="226"/>
      <c r="F4" s="226"/>
      <c r="G4" s="226"/>
      <c r="H4" s="226"/>
      <c r="I4" s="226"/>
      <c r="J4" s="226"/>
    </row>
    <row r="5" spans="3:12" x14ac:dyDescent="0.2">
      <c r="D5" s="225"/>
      <c r="E5" s="226"/>
      <c r="F5" s="226"/>
      <c r="G5" s="226"/>
      <c r="H5" s="226"/>
      <c r="I5" s="226"/>
      <c r="J5" s="226"/>
    </row>
    <row r="6" spans="3:12" x14ac:dyDescent="0.2">
      <c r="D6" s="225"/>
      <c r="E6" s="226"/>
      <c r="F6" s="226"/>
      <c r="G6" s="226"/>
      <c r="H6" s="226"/>
      <c r="I6" s="226"/>
      <c r="J6" s="226"/>
    </row>
    <row r="7" spans="3:12" ht="13.5" customHeight="1" x14ac:dyDescent="1.2">
      <c r="G7" s="88"/>
      <c r="H7" s="88"/>
      <c r="I7" s="88"/>
    </row>
    <row r="8" spans="3:12" ht="15.75" customHeight="1" x14ac:dyDescent="1.2">
      <c r="G8" s="88"/>
      <c r="H8" s="88"/>
      <c r="I8" s="88"/>
    </row>
    <row r="10" spans="3:12" customFormat="1" ht="21" x14ac:dyDescent="0.25">
      <c r="C10" s="249" t="s">
        <v>52</v>
      </c>
      <c r="D10" s="249"/>
      <c r="J10" s="227" t="s">
        <v>53</v>
      </c>
      <c r="K10" s="250"/>
    </row>
    <row r="11" spans="3:12" customFormat="1" ht="15" x14ac:dyDescent="0.25"/>
    <row r="12" spans="3:12" customFormat="1" ht="15" x14ac:dyDescent="0.25">
      <c r="C12" s="14" t="s">
        <v>54</v>
      </c>
      <c r="D12" s="14" t="s">
        <v>55</v>
      </c>
      <c r="E12" s="27"/>
      <c r="F12" s="27"/>
      <c r="J12" s="14" t="s">
        <v>54</v>
      </c>
      <c r="K12" s="14" t="str">
        <f>D12</f>
        <v>Subtotal</v>
      </c>
    </row>
    <row r="13" spans="3:12" customFormat="1" ht="15" x14ac:dyDescent="0.25">
      <c r="C13" s="15" t="str">
        <f>A19</f>
        <v>1.- Centralización (Hardware y Software)</v>
      </c>
      <c r="D13" s="1">
        <f>ROUND(F85,2)</f>
        <v>242913</v>
      </c>
      <c r="E13" s="27"/>
      <c r="J13" s="15" t="str">
        <f t="shared" ref="J13:J14" si="0">C13</f>
        <v>1.- Centralización (Hardware y Software)</v>
      </c>
      <c r="K13" s="1">
        <f>ROUND(K85,2)</f>
        <v>0</v>
      </c>
      <c r="L13" s="2"/>
    </row>
    <row r="14" spans="3:12" customFormat="1" ht="15" x14ac:dyDescent="0.25">
      <c r="C14" s="15" t="str">
        <f>A87</f>
        <v>2.- Ingeniería y Puesta en Marcha</v>
      </c>
      <c r="D14" s="1">
        <f>ROUND(F92,2)</f>
        <v>20520</v>
      </c>
      <c r="E14" s="27"/>
      <c r="J14" s="15" t="str">
        <f t="shared" si="0"/>
        <v>2.- Ingeniería y Puesta en Marcha</v>
      </c>
      <c r="K14" s="1">
        <f>ROUND(K92,2)</f>
        <v>0</v>
      </c>
      <c r="L14" s="2"/>
    </row>
    <row r="15" spans="3:12" customFormat="1" ht="15.75" x14ac:dyDescent="0.25">
      <c r="C15" s="16" t="s">
        <v>56</v>
      </c>
      <c r="D15" s="17">
        <f>SUM(D13:D14)</f>
        <v>263433</v>
      </c>
      <c r="E15" s="27"/>
      <c r="J15" s="16" t="str">
        <f>C15</f>
        <v>TOTALES</v>
      </c>
      <c r="K15" s="17">
        <f>SUM(K13:K14)</f>
        <v>0</v>
      </c>
      <c r="L15" s="89"/>
    </row>
    <row r="16" spans="3:12" customFormat="1" ht="15" x14ac:dyDescent="0.25"/>
    <row r="17" spans="1:13" customFormat="1" ht="15" x14ac:dyDescent="0.25">
      <c r="J17" s="251" t="s">
        <v>57</v>
      </c>
      <c r="K17" s="252"/>
      <c r="L17" s="27"/>
    </row>
    <row r="18" spans="1:13" x14ac:dyDescent="0.2">
      <c r="A18" s="90"/>
      <c r="B18" s="90"/>
      <c r="C18" s="91"/>
      <c r="D18" s="91"/>
      <c r="E18" s="92"/>
      <c r="F18" s="93"/>
    </row>
    <row r="19" spans="1:13" x14ac:dyDescent="0.2">
      <c r="A19" s="237" t="s">
        <v>143</v>
      </c>
      <c r="B19" s="238"/>
      <c r="C19" s="239"/>
      <c r="D19" s="44"/>
      <c r="E19" s="44"/>
      <c r="F19" s="45"/>
      <c r="H19" s="237" t="str">
        <f t="shared" ref="H19:H29" si="1">A19</f>
        <v>1.- Centralización (Hardware y Software)</v>
      </c>
      <c r="I19" s="238"/>
      <c r="J19" s="239"/>
      <c r="M19" s="45"/>
    </row>
    <row r="20" spans="1:13" ht="25.5" x14ac:dyDescent="0.2">
      <c r="A20" s="222" t="s">
        <v>59</v>
      </c>
      <c r="B20" s="222"/>
      <c r="C20" s="19" t="s">
        <v>60</v>
      </c>
      <c r="D20" s="19" t="s">
        <v>61</v>
      </c>
      <c r="E20" s="20" t="s">
        <v>62</v>
      </c>
      <c r="F20" s="14" t="s">
        <v>63</v>
      </c>
      <c r="H20" s="222" t="str">
        <f t="shared" si="1"/>
        <v>Cantidad</v>
      </c>
      <c r="I20" s="222"/>
      <c r="J20" s="19" t="str">
        <f>E20</f>
        <v>P/U</v>
      </c>
      <c r="K20" s="19" t="str">
        <f>F20</f>
        <v>TOTAL</v>
      </c>
    </row>
    <row r="21" spans="1:13" x14ac:dyDescent="0.2">
      <c r="A21" s="215" t="s">
        <v>616</v>
      </c>
      <c r="B21" s="216"/>
      <c r="C21" s="216"/>
      <c r="D21" s="216"/>
      <c r="E21" s="216"/>
      <c r="F21" s="217"/>
      <c r="H21" s="215" t="str">
        <f t="shared" ref="H21:H25" si="2">A21</f>
        <v>Hardware de VMS REMOTO (CPD)</v>
      </c>
      <c r="I21" s="216"/>
      <c r="J21" s="216"/>
      <c r="K21" s="217"/>
    </row>
    <row r="22" spans="1:13" ht="331.5" x14ac:dyDescent="0.2">
      <c r="A22" s="21">
        <v>1</v>
      </c>
      <c r="B22" s="22" t="s">
        <v>33</v>
      </c>
      <c r="C22" s="23" t="s">
        <v>640</v>
      </c>
      <c r="D22" s="31" t="s">
        <v>600</v>
      </c>
      <c r="E22" s="94">
        <v>75668</v>
      </c>
      <c r="F22" s="95">
        <f>ROUND(A22*E22,2)</f>
        <v>75668</v>
      </c>
      <c r="H22" s="21">
        <f t="shared" ref="H22:H24" si="3">A22</f>
        <v>1</v>
      </c>
      <c r="I22" s="96" t="str">
        <f>B22</f>
        <v>ud</v>
      </c>
      <c r="J22" s="11"/>
      <c r="K22" s="26">
        <f>+J22*H22</f>
        <v>0</v>
      </c>
    </row>
    <row r="23" spans="1:13" ht="178.5" x14ac:dyDescent="0.2">
      <c r="A23" s="21">
        <v>2</v>
      </c>
      <c r="B23" s="22" t="s">
        <v>33</v>
      </c>
      <c r="C23" s="23" t="s">
        <v>601</v>
      </c>
      <c r="D23" s="31" t="s">
        <v>602</v>
      </c>
      <c r="E23" s="94">
        <v>450</v>
      </c>
      <c r="F23" s="95">
        <f>ROUND(A23*E23,2)</f>
        <v>900</v>
      </c>
      <c r="H23" s="21">
        <f t="shared" ref="H23" si="4">A23</f>
        <v>2</v>
      </c>
      <c r="I23" s="96" t="str">
        <f>B23</f>
        <v>ud</v>
      </c>
      <c r="J23" s="11"/>
      <c r="K23" s="26">
        <f>+J23*H23</f>
        <v>0</v>
      </c>
    </row>
    <row r="24" spans="1:13" ht="229.5" x14ac:dyDescent="0.2">
      <c r="A24" s="21">
        <v>4</v>
      </c>
      <c r="B24" s="22" t="s">
        <v>33</v>
      </c>
      <c r="C24" s="23" t="s">
        <v>604</v>
      </c>
      <c r="D24" s="31" t="s">
        <v>603</v>
      </c>
      <c r="E24" s="94">
        <v>75</v>
      </c>
      <c r="F24" s="95">
        <f>ROUND(A24*E24,2)</f>
        <v>300</v>
      </c>
      <c r="H24" s="21">
        <f t="shared" si="3"/>
        <v>4</v>
      </c>
      <c r="I24" s="96" t="str">
        <f>B24</f>
        <v>ud</v>
      </c>
      <c r="J24" s="11"/>
      <c r="K24" s="26">
        <f>+J24*H24</f>
        <v>0</v>
      </c>
    </row>
    <row r="25" spans="1:13" ht="204" x14ac:dyDescent="0.2">
      <c r="A25" s="21">
        <v>4</v>
      </c>
      <c r="B25" s="22" t="s">
        <v>33</v>
      </c>
      <c r="C25" s="23" t="s">
        <v>606</v>
      </c>
      <c r="D25" s="31" t="s">
        <v>605</v>
      </c>
      <c r="E25" s="94">
        <v>95</v>
      </c>
      <c r="F25" s="95">
        <f>ROUND(A25*E25,2)</f>
        <v>380</v>
      </c>
      <c r="H25" s="21">
        <f t="shared" si="2"/>
        <v>4</v>
      </c>
      <c r="I25" s="96" t="str">
        <f>B25</f>
        <v>ud</v>
      </c>
      <c r="J25" s="11"/>
      <c r="K25" s="26">
        <f>+J25*H25</f>
        <v>0</v>
      </c>
    </row>
    <row r="26" spans="1:13" x14ac:dyDescent="0.2">
      <c r="A26" s="215" t="s">
        <v>599</v>
      </c>
      <c r="B26" s="216"/>
      <c r="C26" s="216"/>
      <c r="D26" s="216"/>
      <c r="E26" s="216"/>
      <c r="F26" s="217"/>
      <c r="H26" s="215" t="str">
        <f t="shared" si="1"/>
        <v>Hardware de VMS LOCAL</v>
      </c>
      <c r="I26" s="216"/>
      <c r="J26" s="216"/>
      <c r="K26" s="217"/>
    </row>
    <row r="27" spans="1:13" ht="76.5" x14ac:dyDescent="0.2">
      <c r="A27" s="21">
        <v>1</v>
      </c>
      <c r="B27" s="22" t="s">
        <v>33</v>
      </c>
      <c r="C27" s="23" t="s">
        <v>574</v>
      </c>
      <c r="D27" s="31" t="s">
        <v>573</v>
      </c>
      <c r="E27" s="94">
        <v>46600</v>
      </c>
      <c r="F27" s="95">
        <f>ROUND(A27*E27,2)</f>
        <v>46600</v>
      </c>
      <c r="H27" s="21">
        <f t="shared" si="1"/>
        <v>1</v>
      </c>
      <c r="I27" s="96" t="str">
        <f>B27</f>
        <v>ud</v>
      </c>
      <c r="J27" s="11"/>
      <c r="K27" s="26">
        <f>+J27*H27</f>
        <v>0</v>
      </c>
    </row>
    <row r="28" spans="1:13" x14ac:dyDescent="0.2">
      <c r="A28" s="215" t="s">
        <v>144</v>
      </c>
      <c r="B28" s="216"/>
      <c r="C28" s="216"/>
      <c r="D28" s="216"/>
      <c r="E28" s="216"/>
      <c r="F28" s="217"/>
      <c r="H28" s="215" t="str">
        <f t="shared" si="1"/>
        <v>Software de VMS</v>
      </c>
      <c r="I28" s="216"/>
      <c r="J28" s="216"/>
      <c r="K28" s="217"/>
    </row>
    <row r="29" spans="1:13" ht="204" x14ac:dyDescent="0.2">
      <c r="A29" s="21">
        <v>1</v>
      </c>
      <c r="B29" s="22" t="s">
        <v>33</v>
      </c>
      <c r="C29" s="23" t="s">
        <v>576</v>
      </c>
      <c r="D29" s="31" t="s">
        <v>575</v>
      </c>
      <c r="E29" s="94">
        <v>1160</v>
      </c>
      <c r="F29" s="95">
        <f>ROUND(A29*E29,2)</f>
        <v>1160</v>
      </c>
      <c r="H29" s="21">
        <f t="shared" si="1"/>
        <v>1</v>
      </c>
      <c r="I29" s="96" t="str">
        <f>B29</f>
        <v>ud</v>
      </c>
      <c r="J29" s="9"/>
      <c r="K29" s="26">
        <f>+J29*H29</f>
        <v>0</v>
      </c>
    </row>
    <row r="30" spans="1:13" ht="25.5" x14ac:dyDescent="0.2">
      <c r="A30" s="54">
        <v>1</v>
      </c>
      <c r="B30" s="55" t="s">
        <v>33</v>
      </c>
      <c r="C30" s="56" t="s">
        <v>145</v>
      </c>
      <c r="D30" s="97" t="s">
        <v>146</v>
      </c>
      <c r="E30" s="80">
        <v>770</v>
      </c>
      <c r="F30" s="81">
        <f t="shared" ref="F30:F32" si="5">ROUND(A30*E30,2)</f>
        <v>770</v>
      </c>
      <c r="H30" s="21">
        <f t="shared" ref="H30:H32" si="6">A30</f>
        <v>1</v>
      </c>
      <c r="I30" s="96" t="str">
        <f t="shared" ref="I30:I32" si="7">B30</f>
        <v>ud</v>
      </c>
      <c r="J30" s="11"/>
      <c r="K30" s="26">
        <f>+J30*H30</f>
        <v>0</v>
      </c>
    </row>
    <row r="31" spans="1:13" s="202" customFormat="1" x14ac:dyDescent="0.2">
      <c r="A31" s="54">
        <v>1</v>
      </c>
      <c r="B31" s="55" t="s">
        <v>33</v>
      </c>
      <c r="C31" s="56" t="s">
        <v>578</v>
      </c>
      <c r="D31" s="56" t="s">
        <v>579</v>
      </c>
      <c r="E31" s="80">
        <v>1510</v>
      </c>
      <c r="F31" s="81">
        <f t="shared" si="5"/>
        <v>1510</v>
      </c>
      <c r="H31" s="21">
        <f t="shared" ref="H31" si="8">A31</f>
        <v>1</v>
      </c>
      <c r="I31" s="96" t="str">
        <f t="shared" ref="I31" si="9">B31</f>
        <v>ud</v>
      </c>
      <c r="J31" s="11"/>
      <c r="K31" s="26">
        <f>+J31*H31</f>
        <v>0</v>
      </c>
      <c r="L31" s="27"/>
      <c r="M31" s="27"/>
    </row>
    <row r="32" spans="1:13" x14ac:dyDescent="0.2">
      <c r="A32" s="98">
        <v>164</v>
      </c>
      <c r="B32" s="99" t="s">
        <v>33</v>
      </c>
      <c r="C32" s="100" t="s">
        <v>147</v>
      </c>
      <c r="D32" s="101" t="s">
        <v>552</v>
      </c>
      <c r="E32" s="102">
        <v>231</v>
      </c>
      <c r="F32" s="81">
        <f t="shared" si="5"/>
        <v>37884</v>
      </c>
      <c r="H32" s="21">
        <f t="shared" si="6"/>
        <v>164</v>
      </c>
      <c r="I32" s="96" t="str">
        <f t="shared" si="7"/>
        <v>ud</v>
      </c>
      <c r="J32" s="123"/>
      <c r="K32" s="61">
        <f>+J32*H32</f>
        <v>0</v>
      </c>
    </row>
    <row r="33" spans="1:13" x14ac:dyDescent="0.2">
      <c r="A33" s="215" t="s">
        <v>148</v>
      </c>
      <c r="B33" s="216"/>
      <c r="C33" s="216"/>
      <c r="D33" s="216"/>
      <c r="E33" s="216"/>
      <c r="F33" s="217"/>
      <c r="H33" s="215" t="str">
        <f>A33</f>
        <v>Software de Lectura de matriculas</v>
      </c>
      <c r="I33" s="216"/>
      <c r="J33" s="216"/>
      <c r="K33" s="217"/>
    </row>
    <row r="34" spans="1:13" ht="25.5" x14ac:dyDescent="0.2">
      <c r="A34" s="54">
        <v>2</v>
      </c>
      <c r="B34" s="55" t="s">
        <v>33</v>
      </c>
      <c r="C34" s="100" t="s">
        <v>149</v>
      </c>
      <c r="D34" s="100" t="s">
        <v>549</v>
      </c>
      <c r="E34" s="102">
        <v>116</v>
      </c>
      <c r="F34" s="103">
        <f>ROUND(A34*E34,2)</f>
        <v>232</v>
      </c>
      <c r="H34" s="84">
        <f>A34</f>
        <v>2</v>
      </c>
      <c r="I34" s="96" t="str">
        <f>B34</f>
        <v>ud</v>
      </c>
      <c r="J34" s="123"/>
      <c r="K34" s="61">
        <f>+J34*H34</f>
        <v>0</v>
      </c>
    </row>
    <row r="35" spans="1:13" x14ac:dyDescent="0.2">
      <c r="A35" s="215" t="s">
        <v>150</v>
      </c>
      <c r="B35" s="216"/>
      <c r="C35" s="216"/>
      <c r="D35" s="216"/>
      <c r="E35" s="216"/>
      <c r="F35" s="217"/>
      <c r="H35" s="215" t="str">
        <f>A35</f>
        <v>Armario de llaves Traka o similar</v>
      </c>
      <c r="I35" s="216"/>
      <c r="J35" s="216"/>
      <c r="K35" s="217"/>
    </row>
    <row r="36" spans="1:13" ht="114.75" x14ac:dyDescent="0.2">
      <c r="A36" s="54">
        <v>1</v>
      </c>
      <c r="B36" s="55" t="s">
        <v>33</v>
      </c>
      <c r="C36" s="23" t="s">
        <v>151</v>
      </c>
      <c r="D36" s="23" t="s">
        <v>152</v>
      </c>
      <c r="E36" s="94">
        <v>18189.8</v>
      </c>
      <c r="F36" s="95">
        <f>ROUND(A36*E36,2)</f>
        <v>18189.8</v>
      </c>
      <c r="H36" s="84">
        <f>A36</f>
        <v>1</v>
      </c>
      <c r="I36" s="96" t="str">
        <f>B36</f>
        <v>ud</v>
      </c>
      <c r="J36" s="9"/>
      <c r="K36" s="26">
        <f t="shared" ref="K36:K42" si="10">+J36*H36</f>
        <v>0</v>
      </c>
    </row>
    <row r="37" spans="1:13" ht="25.5" x14ac:dyDescent="0.2">
      <c r="A37" s="54">
        <v>1</v>
      </c>
      <c r="B37" s="55" t="s">
        <v>33</v>
      </c>
      <c r="C37" s="23" t="s">
        <v>153</v>
      </c>
      <c r="D37" s="23" t="s">
        <v>154</v>
      </c>
      <c r="E37" s="94">
        <v>390</v>
      </c>
      <c r="F37" s="95">
        <f t="shared" ref="F37:F42" si="11">ROUND(A37*E37,2)</f>
        <v>390</v>
      </c>
      <c r="H37" s="84">
        <f t="shared" ref="H37:H42" si="12">A37</f>
        <v>1</v>
      </c>
      <c r="I37" s="96" t="str">
        <f t="shared" ref="I37:I42" si="13">B37</f>
        <v>ud</v>
      </c>
      <c r="J37" s="9"/>
      <c r="K37" s="26">
        <f t="shared" si="10"/>
        <v>0</v>
      </c>
    </row>
    <row r="38" spans="1:13" ht="25.5" x14ac:dyDescent="0.2">
      <c r="A38" s="54">
        <v>1</v>
      </c>
      <c r="B38" s="55" t="s">
        <v>33</v>
      </c>
      <c r="C38" s="56" t="s">
        <v>155</v>
      </c>
      <c r="D38" s="56" t="s">
        <v>156</v>
      </c>
      <c r="E38" s="80">
        <v>1160</v>
      </c>
      <c r="F38" s="95">
        <f t="shared" si="11"/>
        <v>1160</v>
      </c>
      <c r="H38" s="84">
        <f t="shared" si="12"/>
        <v>1</v>
      </c>
      <c r="I38" s="96" t="str">
        <f t="shared" si="13"/>
        <v>ud</v>
      </c>
      <c r="J38" s="11"/>
      <c r="K38" s="26">
        <f t="shared" si="10"/>
        <v>0</v>
      </c>
    </row>
    <row r="39" spans="1:13" customFormat="1" ht="38.25" x14ac:dyDescent="0.25">
      <c r="A39" s="54">
        <v>1</v>
      </c>
      <c r="B39" s="55" t="s">
        <v>33</v>
      </c>
      <c r="C39" s="23" t="s">
        <v>157</v>
      </c>
      <c r="D39" s="31" t="s">
        <v>545</v>
      </c>
      <c r="E39" s="94">
        <v>265</v>
      </c>
      <c r="F39" s="95">
        <f t="shared" si="11"/>
        <v>265</v>
      </c>
      <c r="H39" s="84">
        <f t="shared" si="12"/>
        <v>1</v>
      </c>
      <c r="I39" s="96" t="str">
        <f t="shared" si="13"/>
        <v>ud</v>
      </c>
      <c r="J39" s="11"/>
      <c r="K39" s="26">
        <f t="shared" si="10"/>
        <v>0</v>
      </c>
    </row>
    <row r="40" spans="1:13" customFormat="1" ht="25.5" x14ac:dyDescent="0.25">
      <c r="A40" s="131">
        <v>1</v>
      </c>
      <c r="B40" s="132" t="s">
        <v>33</v>
      </c>
      <c r="C40" s="23" t="s">
        <v>553</v>
      </c>
      <c r="D40" s="31" t="s">
        <v>554</v>
      </c>
      <c r="E40" s="94">
        <v>50</v>
      </c>
      <c r="F40" s="95">
        <f t="shared" si="11"/>
        <v>50</v>
      </c>
      <c r="H40" s="84">
        <f t="shared" ref="H40" si="14">A40</f>
        <v>1</v>
      </c>
      <c r="I40" s="96" t="str">
        <f t="shared" ref="I40" si="15">B40</f>
        <v>ud</v>
      </c>
      <c r="J40" s="11"/>
      <c r="K40" s="26">
        <f t="shared" si="10"/>
        <v>0</v>
      </c>
    </row>
    <row r="41" spans="1:13" ht="38.25" x14ac:dyDescent="0.25">
      <c r="A41" s="131">
        <v>1</v>
      </c>
      <c r="B41" s="132" t="s">
        <v>33</v>
      </c>
      <c r="C41" s="23" t="s">
        <v>577</v>
      </c>
      <c r="D41" s="23" t="s">
        <v>580</v>
      </c>
      <c r="E41" s="94">
        <v>1181</v>
      </c>
      <c r="F41" s="95">
        <f t="shared" si="11"/>
        <v>1181</v>
      </c>
      <c r="G41" s="202"/>
      <c r="H41" s="84">
        <f t="shared" ref="H41" si="16">A41</f>
        <v>1</v>
      </c>
      <c r="I41" s="96" t="str">
        <f t="shared" ref="I41" si="17">B41</f>
        <v>ud</v>
      </c>
      <c r="J41" s="11"/>
      <c r="K41" s="26">
        <f t="shared" si="10"/>
        <v>0</v>
      </c>
      <c r="L41"/>
      <c r="M41"/>
    </row>
    <row r="42" spans="1:13" ht="51" x14ac:dyDescent="0.2">
      <c r="A42" s="54">
        <v>2</v>
      </c>
      <c r="B42" s="55" t="s">
        <v>33</v>
      </c>
      <c r="C42" s="105" t="s">
        <v>158</v>
      </c>
      <c r="D42" s="105" t="s">
        <v>159</v>
      </c>
      <c r="E42" s="106">
        <v>6.2</v>
      </c>
      <c r="F42" s="95">
        <f t="shared" si="11"/>
        <v>12.4</v>
      </c>
      <c r="H42" s="84">
        <f t="shared" si="12"/>
        <v>2</v>
      </c>
      <c r="I42" s="96" t="str">
        <f t="shared" si="13"/>
        <v>ud</v>
      </c>
      <c r="J42" s="124"/>
      <c r="K42" s="61">
        <f t="shared" si="10"/>
        <v>0</v>
      </c>
    </row>
    <row r="43" spans="1:13" x14ac:dyDescent="0.2">
      <c r="A43" s="215" t="s">
        <v>160</v>
      </c>
      <c r="B43" s="216"/>
      <c r="C43" s="216"/>
      <c r="D43" s="216"/>
      <c r="E43" s="216"/>
      <c r="F43" s="217"/>
      <c r="H43" s="215" t="str">
        <f>A43</f>
        <v>Hardware Centro de Control</v>
      </c>
      <c r="I43" s="216"/>
      <c r="J43" s="216"/>
      <c r="K43" s="217"/>
    </row>
    <row r="44" spans="1:13" ht="25.5" x14ac:dyDescent="0.2">
      <c r="A44" s="54">
        <v>1</v>
      </c>
      <c r="B44" s="55" t="s">
        <v>33</v>
      </c>
      <c r="C44" s="23" t="s">
        <v>161</v>
      </c>
      <c r="D44" s="31" t="s">
        <v>162</v>
      </c>
      <c r="E44" s="94">
        <v>485</v>
      </c>
      <c r="F44" s="26">
        <f>ROUND(A44*E44,2)</f>
        <v>485</v>
      </c>
      <c r="H44" s="84">
        <f>A44</f>
        <v>1</v>
      </c>
      <c r="I44" s="96" t="str">
        <f>B44</f>
        <v>ud</v>
      </c>
      <c r="J44" s="9"/>
      <c r="K44" s="26">
        <f t="shared" ref="K44:K54" si="18">+J44*H44</f>
        <v>0</v>
      </c>
    </row>
    <row r="45" spans="1:13" ht="25.5" x14ac:dyDescent="0.2">
      <c r="A45" s="54">
        <v>2</v>
      </c>
      <c r="B45" s="55" t="s">
        <v>33</v>
      </c>
      <c r="C45" s="56" t="s">
        <v>163</v>
      </c>
      <c r="D45" s="97" t="s">
        <v>164</v>
      </c>
      <c r="E45" s="80">
        <v>636</v>
      </c>
      <c r="F45" s="26">
        <f t="shared" ref="F45:F52" si="19">ROUND(A45*E45,2)</f>
        <v>1272</v>
      </c>
      <c r="H45" s="84">
        <f t="shared" ref="H45:H53" si="20">A45</f>
        <v>2</v>
      </c>
      <c r="I45" s="96" t="str">
        <f t="shared" ref="I45:I53" si="21">B45</f>
        <v>ud</v>
      </c>
      <c r="J45" s="11"/>
      <c r="K45" s="26">
        <f t="shared" si="18"/>
        <v>0</v>
      </c>
    </row>
    <row r="46" spans="1:13" customFormat="1" ht="38.25" x14ac:dyDescent="0.25">
      <c r="A46" s="54">
        <v>52</v>
      </c>
      <c r="B46" s="55" t="s">
        <v>33</v>
      </c>
      <c r="C46" s="97" t="s">
        <v>165</v>
      </c>
      <c r="D46" s="97" t="s">
        <v>166</v>
      </c>
      <c r="E46" s="58">
        <v>60</v>
      </c>
      <c r="F46" s="26">
        <f>ROUND(A46*E46,2)</f>
        <v>3120</v>
      </c>
      <c r="H46" s="84">
        <f>A46</f>
        <v>52</v>
      </c>
      <c r="I46" s="96" t="str">
        <f>B46</f>
        <v>ud</v>
      </c>
      <c r="J46" s="11"/>
      <c r="K46" s="26">
        <f>+J46*H46</f>
        <v>0</v>
      </c>
    </row>
    <row r="47" spans="1:13" ht="114.75" x14ac:dyDescent="0.2">
      <c r="A47" s="54">
        <v>1</v>
      </c>
      <c r="B47" s="55" t="s">
        <v>33</v>
      </c>
      <c r="C47" s="23" t="s">
        <v>562</v>
      </c>
      <c r="D47" s="97" t="s">
        <v>561</v>
      </c>
      <c r="E47" s="25">
        <v>65</v>
      </c>
      <c r="F47" s="26">
        <f t="shared" ref="F47" si="22">ROUND(A47*E47,2)</f>
        <v>65</v>
      </c>
      <c r="H47" s="84">
        <f t="shared" ref="H47" si="23">A47</f>
        <v>1</v>
      </c>
      <c r="I47" s="96" t="str">
        <f t="shared" ref="I47" si="24">B47</f>
        <v>ud</v>
      </c>
      <c r="J47" s="11"/>
      <c r="K47" s="26">
        <f t="shared" ref="K47" si="25">+J47*H47</f>
        <v>0</v>
      </c>
    </row>
    <row r="48" spans="1:13" customFormat="1" ht="89.25" x14ac:dyDescent="0.25">
      <c r="A48" s="21">
        <v>2</v>
      </c>
      <c r="B48" s="22" t="s">
        <v>33</v>
      </c>
      <c r="C48" s="31" t="s">
        <v>564</v>
      </c>
      <c r="D48" s="23" t="s">
        <v>563</v>
      </c>
      <c r="E48" s="25">
        <v>60</v>
      </c>
      <c r="F48" s="26">
        <f t="shared" ref="F48:F49" si="26">ROUND(A48*E48,2)</f>
        <v>120</v>
      </c>
      <c r="H48" s="84">
        <f t="shared" ref="H48:H49" si="27">A48</f>
        <v>2</v>
      </c>
      <c r="I48" s="96" t="str">
        <f t="shared" ref="I48:I49" si="28">B48</f>
        <v>ud</v>
      </c>
      <c r="J48" s="11"/>
      <c r="K48" s="26">
        <f t="shared" ref="K48:K49" si="29">+J48*H48</f>
        <v>0</v>
      </c>
    </row>
    <row r="49" spans="1:13" customFormat="1" ht="76.5" x14ac:dyDescent="0.25">
      <c r="A49" s="54">
        <v>1</v>
      </c>
      <c r="B49" s="55" t="s">
        <v>33</v>
      </c>
      <c r="C49" s="97" t="s">
        <v>582</v>
      </c>
      <c r="D49" s="97" t="s">
        <v>581</v>
      </c>
      <c r="E49" s="58">
        <v>6500</v>
      </c>
      <c r="F49" s="26">
        <f t="shared" si="26"/>
        <v>6500</v>
      </c>
      <c r="H49" s="84">
        <f t="shared" si="27"/>
        <v>1</v>
      </c>
      <c r="I49" s="96" t="str">
        <f t="shared" si="28"/>
        <v>ud</v>
      </c>
      <c r="J49" s="11"/>
      <c r="K49" s="26">
        <f t="shared" si="29"/>
        <v>0</v>
      </c>
    </row>
    <row r="50" spans="1:13" customFormat="1" ht="25.5" x14ac:dyDescent="0.25">
      <c r="A50" s="54">
        <v>1</v>
      </c>
      <c r="B50" s="55" t="s">
        <v>33</v>
      </c>
      <c r="C50" s="97" t="s">
        <v>167</v>
      </c>
      <c r="D50" s="97" t="s">
        <v>168</v>
      </c>
      <c r="E50" s="58">
        <v>1019</v>
      </c>
      <c r="F50" s="26">
        <f t="shared" si="19"/>
        <v>1019</v>
      </c>
      <c r="H50" s="84">
        <f t="shared" si="20"/>
        <v>1</v>
      </c>
      <c r="I50" s="96" t="str">
        <f t="shared" si="21"/>
        <v>ud</v>
      </c>
      <c r="J50" s="11"/>
      <c r="K50" s="26">
        <f t="shared" si="18"/>
        <v>0</v>
      </c>
    </row>
    <row r="51" spans="1:13" customFormat="1" ht="76.5" x14ac:dyDescent="0.25">
      <c r="A51" s="54">
        <v>1</v>
      </c>
      <c r="B51" s="55" t="s">
        <v>33</v>
      </c>
      <c r="C51" s="108" t="s">
        <v>169</v>
      </c>
      <c r="D51" s="97" t="s">
        <v>170</v>
      </c>
      <c r="E51" s="58">
        <v>428</v>
      </c>
      <c r="F51" s="26">
        <f t="shared" si="19"/>
        <v>428</v>
      </c>
      <c r="H51" s="84">
        <f t="shared" si="20"/>
        <v>1</v>
      </c>
      <c r="I51" s="96" t="str">
        <f t="shared" si="21"/>
        <v>ud</v>
      </c>
      <c r="J51" s="11"/>
      <c r="K51" s="26">
        <f t="shared" si="18"/>
        <v>0</v>
      </c>
    </row>
    <row r="52" spans="1:13" ht="25.5" x14ac:dyDescent="0.25">
      <c r="A52" s="84">
        <v>1</v>
      </c>
      <c r="B52" s="22" t="s">
        <v>33</v>
      </c>
      <c r="C52" s="31" t="s">
        <v>555</v>
      </c>
      <c r="D52" s="31" t="s">
        <v>556</v>
      </c>
      <c r="E52" s="25">
        <v>228</v>
      </c>
      <c r="F52" s="95">
        <f t="shared" si="19"/>
        <v>228</v>
      </c>
      <c r="G52" s="53"/>
      <c r="H52" s="84">
        <f t="shared" si="20"/>
        <v>1</v>
      </c>
      <c r="I52" s="22" t="str">
        <f t="shared" si="21"/>
        <v>ud</v>
      </c>
      <c r="J52" s="9"/>
      <c r="K52" s="26">
        <f t="shared" si="18"/>
        <v>0</v>
      </c>
      <c r="L52"/>
      <c r="M52"/>
    </row>
    <row r="53" spans="1:13" customFormat="1" ht="25.5" x14ac:dyDescent="0.25">
      <c r="A53" s="21">
        <v>1</v>
      </c>
      <c r="B53" s="22" t="s">
        <v>33</v>
      </c>
      <c r="C53" s="31" t="s">
        <v>550</v>
      </c>
      <c r="D53" s="31" t="s">
        <v>209</v>
      </c>
      <c r="E53" s="25">
        <v>1200</v>
      </c>
      <c r="F53" s="95">
        <f>ROUND(A53*E53,2)</f>
        <v>1200</v>
      </c>
      <c r="H53" s="84">
        <f t="shared" si="20"/>
        <v>1</v>
      </c>
      <c r="I53" s="96" t="str">
        <f t="shared" si="21"/>
        <v>ud</v>
      </c>
      <c r="J53" s="124"/>
      <c r="K53" s="26">
        <f t="shared" si="18"/>
        <v>0</v>
      </c>
    </row>
    <row r="54" spans="1:13" customFormat="1" ht="102" x14ac:dyDescent="0.25">
      <c r="A54" s="21">
        <v>4</v>
      </c>
      <c r="B54" s="22" t="s">
        <v>33</v>
      </c>
      <c r="C54" s="31" t="s">
        <v>485</v>
      </c>
      <c r="D54" s="31" t="s">
        <v>484</v>
      </c>
      <c r="E54" s="25">
        <v>500</v>
      </c>
      <c r="F54" s="95">
        <f>ROUND(A54*E54,2)</f>
        <v>2000</v>
      </c>
      <c r="H54" s="84">
        <f t="shared" ref="H54" si="30">A54</f>
        <v>4</v>
      </c>
      <c r="I54" s="96" t="str">
        <f t="shared" ref="I54" si="31">B54</f>
        <v>ud</v>
      </c>
      <c r="J54" s="11"/>
      <c r="K54" s="26">
        <f t="shared" si="18"/>
        <v>0</v>
      </c>
    </row>
    <row r="55" spans="1:13" customFormat="1" ht="76.5" x14ac:dyDescent="0.25">
      <c r="A55" s="21">
        <v>1</v>
      </c>
      <c r="B55" s="22" t="s">
        <v>33</v>
      </c>
      <c r="C55" s="31" t="s">
        <v>487</v>
      </c>
      <c r="D55" s="31" t="s">
        <v>486</v>
      </c>
      <c r="E55" s="25">
        <v>250</v>
      </c>
      <c r="F55" s="95">
        <f>ROUND(A55*E55,2)</f>
        <v>250</v>
      </c>
      <c r="H55" s="84">
        <f t="shared" ref="H55" si="32">A55</f>
        <v>1</v>
      </c>
      <c r="I55" s="96" t="str">
        <f t="shared" ref="I55" si="33">B55</f>
        <v>ud</v>
      </c>
      <c r="J55" s="9"/>
      <c r="K55" s="26">
        <f>+J55*H55</f>
        <v>0</v>
      </c>
    </row>
    <row r="56" spans="1:13" ht="51" x14ac:dyDescent="0.2">
      <c r="A56" s="59">
        <v>4</v>
      </c>
      <c r="B56" s="82" t="s">
        <v>33</v>
      </c>
      <c r="C56" s="105" t="s">
        <v>158</v>
      </c>
      <c r="D56" s="109" t="s">
        <v>159</v>
      </c>
      <c r="E56" s="110">
        <v>6.2</v>
      </c>
      <c r="F56" s="61">
        <f>ROUND(A56*E56,2)</f>
        <v>24.8</v>
      </c>
      <c r="H56" s="84">
        <f>A56</f>
        <v>4</v>
      </c>
      <c r="I56" s="96" t="str">
        <f>B56</f>
        <v>ud</v>
      </c>
      <c r="J56" s="9"/>
      <c r="K56" s="26">
        <f>+J56*H56</f>
        <v>0</v>
      </c>
    </row>
    <row r="57" spans="1:13" x14ac:dyDescent="0.2">
      <c r="A57" s="215" t="s">
        <v>587</v>
      </c>
      <c r="B57" s="216"/>
      <c r="C57" s="216"/>
      <c r="D57" s="216"/>
      <c r="E57" s="216"/>
      <c r="F57" s="217"/>
      <c r="H57" s="215" t="str">
        <f>A57</f>
        <v>Hardware Cuarrto de Comunicaciones</v>
      </c>
      <c r="I57" s="216"/>
      <c r="J57" s="216"/>
      <c r="K57" s="217"/>
    </row>
    <row r="58" spans="1:13" ht="25.5" x14ac:dyDescent="0.2">
      <c r="A58" s="54">
        <v>1</v>
      </c>
      <c r="B58" s="55" t="s">
        <v>33</v>
      </c>
      <c r="C58" s="23" t="s">
        <v>161</v>
      </c>
      <c r="D58" s="31" t="s">
        <v>162</v>
      </c>
      <c r="E58" s="94">
        <v>485</v>
      </c>
      <c r="F58" s="26">
        <f>ROUND(A58*E58,2)</f>
        <v>485</v>
      </c>
      <c r="H58" s="84">
        <f>A58</f>
        <v>1</v>
      </c>
      <c r="I58" s="96" t="str">
        <f>B58</f>
        <v>ud</v>
      </c>
      <c r="J58" s="9"/>
      <c r="K58" s="26">
        <f t="shared" ref="K58:K59" si="34">+J58*H58</f>
        <v>0</v>
      </c>
    </row>
    <row r="59" spans="1:13" ht="25.5" x14ac:dyDescent="0.2">
      <c r="A59" s="54">
        <v>1</v>
      </c>
      <c r="B59" s="55" t="s">
        <v>33</v>
      </c>
      <c r="C59" s="56" t="s">
        <v>163</v>
      </c>
      <c r="D59" s="97" t="s">
        <v>164</v>
      </c>
      <c r="E59" s="80">
        <v>636</v>
      </c>
      <c r="F59" s="26">
        <f t="shared" ref="F59" si="35">ROUND(A59*E59,2)</f>
        <v>636</v>
      </c>
      <c r="H59" s="84">
        <f t="shared" ref="H59" si="36">A59</f>
        <v>1</v>
      </c>
      <c r="I59" s="96" t="str">
        <f t="shared" ref="I59" si="37">B59</f>
        <v>ud</v>
      </c>
      <c r="J59" s="11"/>
      <c r="K59" s="26">
        <f t="shared" si="34"/>
        <v>0</v>
      </c>
    </row>
    <row r="60" spans="1:13" customFormat="1" ht="38.25" x14ac:dyDescent="0.25">
      <c r="A60" s="54">
        <v>8</v>
      </c>
      <c r="B60" s="55" t="s">
        <v>33</v>
      </c>
      <c r="C60" s="97" t="s">
        <v>165</v>
      </c>
      <c r="D60" s="97" t="s">
        <v>166</v>
      </c>
      <c r="E60" s="58">
        <v>60</v>
      </c>
      <c r="F60" s="26">
        <f>ROUND(A60*E60,2)</f>
        <v>480</v>
      </c>
      <c r="H60" s="84">
        <f>A60</f>
        <v>8</v>
      </c>
      <c r="I60" s="96" t="str">
        <f>B60</f>
        <v>ud</v>
      </c>
      <c r="J60" s="11"/>
      <c r="K60" s="26">
        <f>+J60*H60</f>
        <v>0</v>
      </c>
    </row>
    <row r="61" spans="1:13" ht="114.75" x14ac:dyDescent="0.2">
      <c r="A61" s="54">
        <v>1</v>
      </c>
      <c r="B61" s="55" t="s">
        <v>33</v>
      </c>
      <c r="C61" s="23" t="s">
        <v>562</v>
      </c>
      <c r="D61" s="97" t="s">
        <v>561</v>
      </c>
      <c r="E61" s="25">
        <v>65</v>
      </c>
      <c r="F61" s="26">
        <f t="shared" ref="F61:F62" si="38">ROUND(A61*E61,2)</f>
        <v>65</v>
      </c>
      <c r="H61" s="84">
        <f t="shared" ref="H61:H62" si="39">A61</f>
        <v>1</v>
      </c>
      <c r="I61" s="96" t="str">
        <f t="shared" ref="I61:I62" si="40">B61</f>
        <v>ud</v>
      </c>
      <c r="J61" s="11"/>
      <c r="K61" s="26">
        <f t="shared" ref="K61:K62" si="41">+J61*H61</f>
        <v>0</v>
      </c>
    </row>
    <row r="62" spans="1:13" customFormat="1" ht="89.25" x14ac:dyDescent="0.25">
      <c r="A62" s="21">
        <v>1</v>
      </c>
      <c r="B62" s="22" t="s">
        <v>33</v>
      </c>
      <c r="C62" s="31" t="s">
        <v>564</v>
      </c>
      <c r="D62" s="23" t="s">
        <v>563</v>
      </c>
      <c r="E62" s="25">
        <v>60</v>
      </c>
      <c r="F62" s="26">
        <f t="shared" si="38"/>
        <v>60</v>
      </c>
      <c r="H62" s="84">
        <f t="shared" si="39"/>
        <v>1</v>
      </c>
      <c r="I62" s="96" t="str">
        <f t="shared" si="40"/>
        <v>ud</v>
      </c>
      <c r="J62" s="11"/>
      <c r="K62" s="26">
        <f t="shared" si="41"/>
        <v>0</v>
      </c>
    </row>
    <row r="63" spans="1:13" x14ac:dyDescent="0.2">
      <c r="A63" s="240" t="s">
        <v>171</v>
      </c>
      <c r="B63" s="241"/>
      <c r="C63" s="241"/>
      <c r="D63" s="241"/>
      <c r="E63" s="241"/>
      <c r="F63" s="242"/>
      <c r="H63" s="240" t="str">
        <f>A63</f>
        <v>Software Gestión de Alarmas</v>
      </c>
      <c r="I63" s="241"/>
      <c r="J63" s="241"/>
      <c r="K63" s="242"/>
    </row>
    <row r="64" spans="1:13" x14ac:dyDescent="0.2">
      <c r="A64" s="243" t="s">
        <v>172</v>
      </c>
      <c r="B64" s="244"/>
      <c r="C64" s="244"/>
      <c r="D64" s="244"/>
      <c r="E64" s="244"/>
      <c r="F64" s="245"/>
      <c r="H64" s="243" t="str">
        <f>A64</f>
        <v>LICENCIA PUESTOS CLIENTES</v>
      </c>
      <c r="I64" s="244"/>
      <c r="J64" s="244"/>
      <c r="K64" s="245"/>
    </row>
    <row r="65" spans="1:11" x14ac:dyDescent="0.2">
      <c r="A65" s="246" t="s">
        <v>173</v>
      </c>
      <c r="B65" s="247"/>
      <c r="C65" s="247"/>
      <c r="D65" s="247"/>
      <c r="E65" s="247"/>
      <c r="F65" s="248"/>
      <c r="H65" s="246" t="str">
        <f>A65</f>
        <v>Software de conexión a sistema de Gestión de Alarmas</v>
      </c>
      <c r="I65" s="247"/>
      <c r="J65" s="247"/>
      <c r="K65" s="248"/>
    </row>
    <row r="66" spans="1:11" x14ac:dyDescent="0.2">
      <c r="A66" s="21">
        <v>1</v>
      </c>
      <c r="B66" s="22" t="s">
        <v>33</v>
      </c>
      <c r="C66" s="23" t="s">
        <v>174</v>
      </c>
      <c r="D66" s="31" t="s">
        <v>175</v>
      </c>
      <c r="E66" s="94">
        <v>270</v>
      </c>
      <c r="F66" s="95">
        <f t="shared" ref="F66:F70" si="42">ROUND(A66*E66,2)</f>
        <v>270</v>
      </c>
      <c r="H66" s="84">
        <f t="shared" ref="H66:H70" si="43">A66</f>
        <v>1</v>
      </c>
      <c r="I66" s="96" t="str">
        <f t="shared" ref="I66:I70" si="44">B66</f>
        <v>ud</v>
      </c>
      <c r="J66" s="9"/>
      <c r="K66" s="26">
        <f t="shared" ref="K66:K70" si="45">+J66*H66</f>
        <v>0</v>
      </c>
    </row>
    <row r="67" spans="1:11" ht="51" x14ac:dyDescent="0.2">
      <c r="A67" s="21">
        <v>4</v>
      </c>
      <c r="B67" s="22" t="s">
        <v>33</v>
      </c>
      <c r="C67" s="23" t="s">
        <v>176</v>
      </c>
      <c r="D67" s="31" t="s">
        <v>177</v>
      </c>
      <c r="E67" s="94">
        <v>135</v>
      </c>
      <c r="F67" s="95">
        <f t="shared" si="42"/>
        <v>540</v>
      </c>
      <c r="H67" s="84">
        <f t="shared" si="43"/>
        <v>4</v>
      </c>
      <c r="I67" s="96" t="str">
        <f t="shared" si="44"/>
        <v>ud</v>
      </c>
      <c r="J67" s="9"/>
      <c r="K67" s="26">
        <f t="shared" si="45"/>
        <v>0</v>
      </c>
    </row>
    <row r="68" spans="1:11" x14ac:dyDescent="0.2">
      <c r="A68" s="84">
        <v>2</v>
      </c>
      <c r="B68" s="22" t="s">
        <v>33</v>
      </c>
      <c r="C68" s="23" t="s">
        <v>178</v>
      </c>
      <c r="D68" s="31" t="s">
        <v>179</v>
      </c>
      <c r="E68" s="94">
        <v>193</v>
      </c>
      <c r="F68" s="95">
        <f t="shared" si="42"/>
        <v>386</v>
      </c>
      <c r="H68" s="84">
        <f t="shared" si="43"/>
        <v>2</v>
      </c>
      <c r="I68" s="96" t="str">
        <f t="shared" si="44"/>
        <v>ud</v>
      </c>
      <c r="J68" s="9"/>
      <c r="K68" s="26">
        <f t="shared" si="45"/>
        <v>0</v>
      </c>
    </row>
    <row r="69" spans="1:11" x14ac:dyDescent="0.2">
      <c r="A69" s="21">
        <v>27</v>
      </c>
      <c r="B69" s="22" t="s">
        <v>33</v>
      </c>
      <c r="C69" s="23" t="s">
        <v>180</v>
      </c>
      <c r="D69" s="31" t="s">
        <v>181</v>
      </c>
      <c r="E69" s="94">
        <v>308</v>
      </c>
      <c r="F69" s="95">
        <f t="shared" si="42"/>
        <v>8316</v>
      </c>
      <c r="H69" s="84">
        <f t="shared" si="43"/>
        <v>27</v>
      </c>
      <c r="I69" s="96" t="str">
        <f t="shared" si="44"/>
        <v>ud</v>
      </c>
      <c r="J69" s="9"/>
      <c r="K69" s="26">
        <f t="shared" si="45"/>
        <v>0</v>
      </c>
    </row>
    <row r="70" spans="1:11" x14ac:dyDescent="0.2">
      <c r="A70" s="83">
        <v>1</v>
      </c>
      <c r="B70" s="104" t="s">
        <v>33</v>
      </c>
      <c r="C70" s="105" t="s">
        <v>182</v>
      </c>
      <c r="D70" s="105" t="s">
        <v>183</v>
      </c>
      <c r="E70" s="106">
        <v>630</v>
      </c>
      <c r="F70" s="107">
        <f t="shared" si="42"/>
        <v>630</v>
      </c>
      <c r="H70" s="84">
        <f t="shared" si="43"/>
        <v>1</v>
      </c>
      <c r="I70" s="96" t="str">
        <f t="shared" si="44"/>
        <v>ud</v>
      </c>
      <c r="J70" s="124"/>
      <c r="K70" s="61">
        <f t="shared" si="45"/>
        <v>0</v>
      </c>
    </row>
    <row r="71" spans="1:11" x14ac:dyDescent="0.2">
      <c r="A71" s="234" t="s">
        <v>184</v>
      </c>
      <c r="B71" s="235"/>
      <c r="C71" s="235"/>
      <c r="D71" s="235"/>
      <c r="E71" s="235"/>
      <c r="F71" s="236"/>
      <c r="H71" s="234" t="str">
        <f>A71</f>
        <v>Hardware sistema de Gestión de Alarmas</v>
      </c>
      <c r="I71" s="235"/>
      <c r="J71" s="235"/>
      <c r="K71" s="236"/>
    </row>
    <row r="72" spans="1:11" ht="165.75" x14ac:dyDescent="0.2">
      <c r="A72" s="84">
        <v>1</v>
      </c>
      <c r="B72" s="22" t="s">
        <v>33</v>
      </c>
      <c r="C72" s="105" t="s">
        <v>440</v>
      </c>
      <c r="D72" s="105" t="s">
        <v>439</v>
      </c>
      <c r="E72" s="106">
        <v>822</v>
      </c>
      <c r="F72" s="111">
        <f>ROUND(A72*E72,2)</f>
        <v>822</v>
      </c>
      <c r="H72" s="84">
        <f>A72</f>
        <v>1</v>
      </c>
      <c r="I72" s="96" t="str">
        <f>B72</f>
        <v>ud</v>
      </c>
      <c r="J72" s="124"/>
      <c r="K72" s="26">
        <f t="shared" ref="K72:K78" si="46">+J72*H72</f>
        <v>0</v>
      </c>
    </row>
    <row r="73" spans="1:11" ht="102" x14ac:dyDescent="0.2">
      <c r="A73" s="84">
        <v>7</v>
      </c>
      <c r="B73" s="22" t="s">
        <v>33</v>
      </c>
      <c r="C73" s="200" t="s">
        <v>586</v>
      </c>
      <c r="D73" s="201" t="s">
        <v>572</v>
      </c>
      <c r="E73" s="146">
        <v>660</v>
      </c>
      <c r="F73" s="111">
        <f>ROUND(A73*E73,2)</f>
        <v>4620</v>
      </c>
      <c r="H73" s="84">
        <f t="shared" ref="H73:H78" si="47">A73</f>
        <v>7</v>
      </c>
      <c r="I73" s="96" t="str">
        <f t="shared" ref="I73:I78" si="48">B73</f>
        <v>ud</v>
      </c>
      <c r="J73" s="11"/>
      <c r="K73" s="26">
        <f t="shared" si="46"/>
        <v>0</v>
      </c>
    </row>
    <row r="74" spans="1:11" ht="38.25" x14ac:dyDescent="0.2">
      <c r="A74" s="77">
        <v>1</v>
      </c>
      <c r="B74" s="78" t="s">
        <v>33</v>
      </c>
      <c r="C74" s="112" t="s">
        <v>558</v>
      </c>
      <c r="D74" s="56" t="s">
        <v>557</v>
      </c>
      <c r="E74" s="80">
        <v>380</v>
      </c>
      <c r="F74" s="113">
        <f t="shared" ref="F74" si="49">ROUND(A74*E74,2)</f>
        <v>380</v>
      </c>
      <c r="H74" s="84">
        <f t="shared" ref="H74" si="50">A74</f>
        <v>1</v>
      </c>
      <c r="I74" s="96" t="str">
        <f t="shared" ref="I74" si="51">B74</f>
        <v>ud</v>
      </c>
      <c r="J74" s="11"/>
      <c r="K74" s="26">
        <f t="shared" si="46"/>
        <v>0</v>
      </c>
    </row>
    <row r="75" spans="1:11" ht="38.25" x14ac:dyDescent="0.2">
      <c r="A75" s="77">
        <v>13</v>
      </c>
      <c r="B75" s="78" t="s">
        <v>33</v>
      </c>
      <c r="C75" s="112" t="s">
        <v>559</v>
      </c>
      <c r="D75" s="56" t="s">
        <v>185</v>
      </c>
      <c r="E75" s="80">
        <v>226</v>
      </c>
      <c r="F75" s="113">
        <f t="shared" ref="F75" si="52">ROUND(A75*E75,2)</f>
        <v>2938</v>
      </c>
      <c r="H75" s="84">
        <f t="shared" ref="H75" si="53">A75</f>
        <v>13</v>
      </c>
      <c r="I75" s="96" t="str">
        <f t="shared" ref="I75" si="54">B75</f>
        <v>ud</v>
      </c>
      <c r="J75" s="11"/>
      <c r="K75" s="26">
        <f t="shared" si="46"/>
        <v>0</v>
      </c>
    </row>
    <row r="76" spans="1:11" ht="51" x14ac:dyDescent="0.2">
      <c r="A76" s="77">
        <v>1</v>
      </c>
      <c r="B76" s="78" t="s">
        <v>33</v>
      </c>
      <c r="C76" s="112" t="s">
        <v>560</v>
      </c>
      <c r="D76" s="56" t="s">
        <v>548</v>
      </c>
      <c r="E76" s="80">
        <v>76</v>
      </c>
      <c r="F76" s="113">
        <f t="shared" ref="F76:F78" si="55">ROUND(A76*E76,2)</f>
        <v>76</v>
      </c>
      <c r="H76" s="84">
        <f t="shared" si="47"/>
        <v>1</v>
      </c>
      <c r="I76" s="96" t="str">
        <f t="shared" si="48"/>
        <v>ud</v>
      </c>
      <c r="J76" s="11"/>
      <c r="K76" s="26">
        <f t="shared" si="46"/>
        <v>0</v>
      </c>
    </row>
    <row r="77" spans="1:11" ht="63.75" x14ac:dyDescent="0.2">
      <c r="A77" s="84">
        <v>6</v>
      </c>
      <c r="B77" s="22" t="s">
        <v>33</v>
      </c>
      <c r="C77" s="112" t="s">
        <v>565</v>
      </c>
      <c r="D77" s="56" t="s">
        <v>186</v>
      </c>
      <c r="E77" s="80">
        <v>69</v>
      </c>
      <c r="F77" s="113">
        <f t="shared" ref="F77" si="56">ROUND(A77*E77,2)</f>
        <v>414</v>
      </c>
      <c r="H77" s="84">
        <f t="shared" ref="H77" si="57">A77</f>
        <v>6</v>
      </c>
      <c r="I77" s="96" t="str">
        <f t="shared" ref="I77" si="58">B77</f>
        <v>ud</v>
      </c>
      <c r="J77" s="11"/>
      <c r="K77" s="26">
        <f t="shared" si="46"/>
        <v>0</v>
      </c>
    </row>
    <row r="78" spans="1:11" x14ac:dyDescent="0.2">
      <c r="A78" s="84">
        <v>1</v>
      </c>
      <c r="B78" s="22" t="s">
        <v>33</v>
      </c>
      <c r="C78" s="114" t="s">
        <v>187</v>
      </c>
      <c r="D78" s="100" t="s">
        <v>188</v>
      </c>
      <c r="E78" s="102">
        <v>350</v>
      </c>
      <c r="F78" s="113">
        <f t="shared" si="55"/>
        <v>350</v>
      </c>
      <c r="H78" s="84">
        <f t="shared" si="47"/>
        <v>1</v>
      </c>
      <c r="I78" s="96" t="str">
        <f t="shared" si="48"/>
        <v>ud</v>
      </c>
      <c r="J78" s="123"/>
      <c r="K78" s="61">
        <f t="shared" si="46"/>
        <v>0</v>
      </c>
    </row>
    <row r="79" spans="1:11" x14ac:dyDescent="0.2">
      <c r="A79" s="234" t="s">
        <v>189</v>
      </c>
      <c r="B79" s="235"/>
      <c r="C79" s="235"/>
      <c r="D79" s="235"/>
      <c r="E79" s="235"/>
      <c r="F79" s="236"/>
      <c r="H79" s="234" t="str">
        <f>A79</f>
        <v>LICENCIAS DE SOPORTE DE CONEXIÓN 3 AÑOS</v>
      </c>
      <c r="I79" s="235"/>
      <c r="J79" s="235"/>
      <c r="K79" s="236"/>
    </row>
    <row r="80" spans="1:11" x14ac:dyDescent="0.2">
      <c r="A80" s="84">
        <v>5</v>
      </c>
      <c r="B80" s="22" t="s">
        <v>33</v>
      </c>
      <c r="C80" s="23" t="s">
        <v>190</v>
      </c>
      <c r="D80" s="31" t="s">
        <v>191</v>
      </c>
      <c r="E80" s="94">
        <v>47</v>
      </c>
      <c r="F80" s="26">
        <f>ROUND(A80*E80,2)</f>
        <v>235</v>
      </c>
      <c r="H80" s="84">
        <f>A80</f>
        <v>5</v>
      </c>
      <c r="I80" s="96" t="str">
        <f>B80</f>
        <v>ud</v>
      </c>
      <c r="J80" s="9"/>
      <c r="K80" s="26">
        <f>+J80*H80</f>
        <v>0</v>
      </c>
    </row>
    <row r="81" spans="1:13" x14ac:dyDescent="0.2">
      <c r="A81" s="84">
        <v>164</v>
      </c>
      <c r="B81" s="22" t="s">
        <v>33</v>
      </c>
      <c r="C81" s="31" t="s">
        <v>192</v>
      </c>
      <c r="D81" s="31" t="s">
        <v>193</v>
      </c>
      <c r="E81" s="94">
        <v>104</v>
      </c>
      <c r="F81" s="26">
        <f t="shared" ref="F81:F84" si="59">ROUND(A81*E81,2)</f>
        <v>17056</v>
      </c>
      <c r="H81" s="84">
        <f t="shared" ref="H81:H84" si="60">A81</f>
        <v>164</v>
      </c>
      <c r="I81" s="96" t="str">
        <f t="shared" ref="I81:I84" si="61">B81</f>
        <v>ud</v>
      </c>
      <c r="J81" s="9"/>
      <c r="K81" s="26">
        <f>+J81*H81</f>
        <v>0</v>
      </c>
    </row>
    <row r="82" spans="1:13" x14ac:dyDescent="0.2">
      <c r="A82" s="84">
        <v>5</v>
      </c>
      <c r="B82" s="22" t="s">
        <v>33</v>
      </c>
      <c r="C82" s="31" t="s">
        <v>194</v>
      </c>
      <c r="D82" s="31" t="s">
        <v>195</v>
      </c>
      <c r="E82" s="94">
        <v>74</v>
      </c>
      <c r="F82" s="26">
        <f t="shared" si="59"/>
        <v>370</v>
      </c>
      <c r="H82" s="84">
        <f t="shared" si="60"/>
        <v>5</v>
      </c>
      <c r="I82" s="96" t="str">
        <f t="shared" si="61"/>
        <v>ud</v>
      </c>
      <c r="J82" s="9"/>
      <c r="K82" s="26">
        <f>+J82*H82</f>
        <v>0</v>
      </c>
    </row>
    <row r="83" spans="1:13" x14ac:dyDescent="0.2">
      <c r="A83" s="84">
        <v>2</v>
      </c>
      <c r="B83" s="22" t="s">
        <v>33</v>
      </c>
      <c r="C83" s="31" t="s">
        <v>196</v>
      </c>
      <c r="D83" s="31" t="s">
        <v>197</v>
      </c>
      <c r="E83" s="94">
        <v>148</v>
      </c>
      <c r="F83" s="26">
        <f t="shared" si="59"/>
        <v>296</v>
      </c>
      <c r="H83" s="84">
        <f t="shared" si="60"/>
        <v>2</v>
      </c>
      <c r="I83" s="96" t="str">
        <f t="shared" si="61"/>
        <v>ud</v>
      </c>
      <c r="J83" s="9"/>
      <c r="K83" s="26">
        <f>+J83*H83</f>
        <v>0</v>
      </c>
    </row>
    <row r="84" spans="1:13" x14ac:dyDescent="0.2">
      <c r="A84" s="83">
        <v>1</v>
      </c>
      <c r="B84" s="82" t="s">
        <v>33</v>
      </c>
      <c r="C84" s="109" t="s">
        <v>198</v>
      </c>
      <c r="D84" s="109" t="s">
        <v>199</v>
      </c>
      <c r="E84" s="106">
        <v>124</v>
      </c>
      <c r="F84" s="61">
        <f t="shared" si="59"/>
        <v>124</v>
      </c>
      <c r="H84" s="83">
        <f t="shared" si="60"/>
        <v>1</v>
      </c>
      <c r="I84" s="96" t="str">
        <f t="shared" si="61"/>
        <v>ud</v>
      </c>
      <c r="J84" s="124"/>
      <c r="K84" s="61">
        <f>+J84*H84</f>
        <v>0</v>
      </c>
    </row>
    <row r="85" spans="1:13" x14ac:dyDescent="0.2">
      <c r="A85" s="37"/>
      <c r="B85" s="37"/>
      <c r="C85" s="38"/>
      <c r="D85" s="38"/>
      <c r="E85" s="39" t="s">
        <v>72</v>
      </c>
      <c r="F85" s="116">
        <f>SUM(F22:F84)</f>
        <v>242912.99999999997</v>
      </c>
      <c r="H85" s="37"/>
      <c r="I85" s="37"/>
      <c r="J85" s="66" t="s">
        <v>72</v>
      </c>
      <c r="K85" s="40">
        <f>SUM(K22:K84)</f>
        <v>0</v>
      </c>
    </row>
    <row r="86" spans="1:13" x14ac:dyDescent="0.2">
      <c r="A86" s="42"/>
      <c r="B86" s="42"/>
      <c r="C86" s="43"/>
      <c r="D86" s="43"/>
      <c r="E86" s="43"/>
      <c r="F86" s="45"/>
      <c r="M86" s="45"/>
    </row>
    <row r="87" spans="1:13" x14ac:dyDescent="0.2">
      <c r="A87" s="237" t="s">
        <v>200</v>
      </c>
      <c r="B87" s="238"/>
      <c r="C87" s="239"/>
      <c r="D87" s="44"/>
      <c r="E87" s="44"/>
      <c r="F87" s="45"/>
      <c r="H87" s="237" t="str">
        <f>A87</f>
        <v>2.- Ingeniería y Puesta en Marcha</v>
      </c>
      <c r="I87" s="238"/>
      <c r="J87" s="239"/>
      <c r="M87" s="45"/>
    </row>
    <row r="88" spans="1:13" ht="25.5" x14ac:dyDescent="0.2">
      <c r="A88" s="222" t="s">
        <v>59</v>
      </c>
      <c r="B88" s="222"/>
      <c r="C88" s="19" t="s">
        <v>60</v>
      </c>
      <c r="D88" s="117" t="s">
        <v>61</v>
      </c>
      <c r="E88" s="20" t="s">
        <v>62</v>
      </c>
      <c r="F88" s="14" t="s">
        <v>63</v>
      </c>
      <c r="H88" s="222" t="s">
        <v>59</v>
      </c>
      <c r="I88" s="222"/>
      <c r="J88" s="19" t="str">
        <f>E88</f>
        <v>P/U</v>
      </c>
      <c r="K88" s="19" t="str">
        <f>F88</f>
        <v>TOTAL</v>
      </c>
    </row>
    <row r="89" spans="1:13" ht="89.25" x14ac:dyDescent="0.2">
      <c r="A89" s="28">
        <v>1</v>
      </c>
      <c r="B89" s="29" t="s">
        <v>33</v>
      </c>
      <c r="C89" s="118" t="s">
        <v>201</v>
      </c>
      <c r="D89" s="118" t="s">
        <v>202</v>
      </c>
      <c r="E89" s="48">
        <f>50*2*150</f>
        <v>15000</v>
      </c>
      <c r="F89" s="30">
        <f>ROUND(A89*E89,2)</f>
        <v>15000</v>
      </c>
      <c r="H89" s="84">
        <f>A89</f>
        <v>1</v>
      </c>
      <c r="I89" s="96" t="str">
        <f>B89</f>
        <v>ud</v>
      </c>
      <c r="J89" s="9"/>
      <c r="K89" s="30">
        <f>+J89*H89</f>
        <v>0</v>
      </c>
    </row>
    <row r="90" spans="1:13" x14ac:dyDescent="0.2">
      <c r="A90" s="21">
        <v>1</v>
      </c>
      <c r="B90" s="22" t="s">
        <v>33</v>
      </c>
      <c r="C90" s="31" t="s">
        <v>203</v>
      </c>
      <c r="D90" s="31" t="s">
        <v>204</v>
      </c>
      <c r="E90" s="25">
        <f>12*2*150</f>
        <v>3600</v>
      </c>
      <c r="F90" s="26">
        <f t="shared" ref="F90:F91" si="62">ROUND(A90*E90,2)</f>
        <v>3600</v>
      </c>
      <c r="H90" s="84">
        <f t="shared" ref="H90:H91" si="63">A90</f>
        <v>1</v>
      </c>
      <c r="I90" s="96" t="str">
        <f t="shared" ref="I90:I91" si="64">B90</f>
        <v>ud</v>
      </c>
      <c r="J90" s="9"/>
      <c r="K90" s="26">
        <f>+J90*H90</f>
        <v>0</v>
      </c>
    </row>
    <row r="91" spans="1:13" x14ac:dyDescent="0.2">
      <c r="A91" s="67">
        <v>1</v>
      </c>
      <c r="B91" s="68" t="s">
        <v>33</v>
      </c>
      <c r="C91" s="120" t="s">
        <v>205</v>
      </c>
      <c r="D91" s="120" t="s">
        <v>206</v>
      </c>
      <c r="E91" s="71">
        <f>12*160</f>
        <v>1920</v>
      </c>
      <c r="F91" s="36">
        <f t="shared" si="62"/>
        <v>1920</v>
      </c>
      <c r="G91" s="53"/>
      <c r="H91" s="192">
        <f t="shared" si="63"/>
        <v>1</v>
      </c>
      <c r="I91" s="115" t="str">
        <f t="shared" si="64"/>
        <v>ud</v>
      </c>
      <c r="J91" s="9"/>
      <c r="K91" s="36">
        <f>+J91*H91</f>
        <v>0</v>
      </c>
    </row>
    <row r="92" spans="1:13" x14ac:dyDescent="0.2">
      <c r="A92" s="42"/>
      <c r="B92" s="42"/>
      <c r="C92" s="43"/>
      <c r="D92" s="38"/>
      <c r="E92" s="66" t="s">
        <v>72</v>
      </c>
      <c r="F92" s="121">
        <f>SUM(F89:F91)</f>
        <v>20520</v>
      </c>
      <c r="J92" s="66" t="s">
        <v>72</v>
      </c>
      <c r="K92" s="40">
        <f>SUM(K89:K91)</f>
        <v>0</v>
      </c>
    </row>
    <row r="93" spans="1:13" x14ac:dyDescent="0.2">
      <c r="A93" s="42"/>
      <c r="B93" s="42"/>
      <c r="C93" s="43"/>
      <c r="D93" s="43"/>
      <c r="E93" s="43"/>
      <c r="F93" s="43"/>
    </row>
    <row r="94" spans="1:13" x14ac:dyDescent="0.2">
      <c r="A94" s="223" t="s">
        <v>142</v>
      </c>
      <c r="B94" s="224"/>
      <c r="C94" s="224"/>
      <c r="D94" s="224"/>
      <c r="E94" s="224"/>
      <c r="F94" s="122">
        <f>D15</f>
        <v>263433</v>
      </c>
      <c r="H94" s="223" t="s">
        <v>142</v>
      </c>
      <c r="I94" s="224"/>
      <c r="J94" s="224"/>
      <c r="K94" s="122">
        <f>K15</f>
        <v>0</v>
      </c>
    </row>
  </sheetData>
  <sheetProtection algorithmName="SHA-512" hashValue="dhFcVDSl6/NwDA2yfOHNcg8LchZWtEiCO7b8Z/up8/yRPPsfrkBMK1MNmyWDcGGdOpBEesHjG7mHwHibgzRg6w==" saltValue="zuR3g68WBXaYlGZrttdXSQ==" spinCount="100000" sheet="1" selectLockedCells="1"/>
  <mergeCells count="38">
    <mergeCell ref="D3:J6"/>
    <mergeCell ref="C10:D10"/>
    <mergeCell ref="J10:K10"/>
    <mergeCell ref="A19:C19"/>
    <mergeCell ref="H19:J19"/>
    <mergeCell ref="J17:K17"/>
    <mergeCell ref="A20:B20"/>
    <mergeCell ref="H20:I20"/>
    <mergeCell ref="A26:F26"/>
    <mergeCell ref="A28:F28"/>
    <mergeCell ref="H28:K28"/>
    <mergeCell ref="H26:K26"/>
    <mergeCell ref="A21:F21"/>
    <mergeCell ref="H21:K21"/>
    <mergeCell ref="H64:K64"/>
    <mergeCell ref="H65:K65"/>
    <mergeCell ref="A33:F33"/>
    <mergeCell ref="A35:F35"/>
    <mergeCell ref="A43:F43"/>
    <mergeCell ref="H43:K43"/>
    <mergeCell ref="H35:K35"/>
    <mergeCell ref="H33:K33"/>
    <mergeCell ref="A88:B88"/>
    <mergeCell ref="H88:I88"/>
    <mergeCell ref="A94:E94"/>
    <mergeCell ref="H94:J94"/>
    <mergeCell ref="A57:F57"/>
    <mergeCell ref="H57:K57"/>
    <mergeCell ref="A71:F71"/>
    <mergeCell ref="A79:F79"/>
    <mergeCell ref="H79:K79"/>
    <mergeCell ref="H71:K71"/>
    <mergeCell ref="A87:C87"/>
    <mergeCell ref="H87:J87"/>
    <mergeCell ref="A63:F63"/>
    <mergeCell ref="A64:F64"/>
    <mergeCell ref="A65:F65"/>
    <mergeCell ref="H63:K63"/>
  </mergeCells>
  <dataValidations count="3">
    <dataValidation allowBlank="1" showInputMessage="1" sqref="K18:L18 H10:L13 K14:L16 H14:J18 K94 H35 K27 H33 H43 H63:H65 H71 H79 H85:H88 H92:H94 L19 M10:M19 L26:M26 L28:M28 L33:M33 L35:M35 J85:L85 J93:M93 J88:K88 K92:L92 I66:I70 J86:M87 L79:M79 L71:M71 L63:M65 L43:M43 J89:J92 I27 L21:M21 L41 I72:I78 L31 I36:I42 J41 I29:I32 K29:K32 I80:I93 I44:I51 L57:M57 H57 I53:I56 I58:I62 H19:K20 K22:K25 I22:I25 H21:H28 I34 K34" xr:uid="{0477BD4D-E694-411F-BFD6-3487DD6EAD02}"/>
    <dataValidation type="decimal" allowBlank="1" showInputMessage="1" showErrorMessage="1" error="Introducir Precio Unitario" sqref="K1:L9 K95:L1048576" xr:uid="{F99C99AE-564F-49C5-81EA-EA5565C08E57}">
      <formula1>1</formula1>
      <formula2>100000</formula2>
    </dataValidation>
    <dataValidation type="whole" allowBlank="1" showInputMessage="1" showErrorMessage="1" error="Introducir Unidades" sqref="H1:H2 H9 H95:H1048576" xr:uid="{B1D62B5E-CF3F-4CA6-B037-0B6529C4C1F9}">
      <formula1>1</formula1>
      <formula2>1000</formula2>
    </dataValidation>
  </dataValidations>
  <pageMargins left="0.7" right="0.7" top="0.75" bottom="0.75" header="0.3" footer="0.3"/>
  <pageSetup paperSize="9" orientation="portrait" horizontalDpi="200" verticalDpi="200" r:id="rId1"/>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2547F-89A4-4D27-BC4E-7FBD5A0FEAED}">
  <dimension ref="A1:N87"/>
  <sheetViews>
    <sheetView showGridLines="0" zoomScale="85" zoomScaleNormal="85" workbookViewId="0">
      <selection activeCell="J21" sqref="J21"/>
    </sheetView>
  </sheetViews>
  <sheetFormatPr baseColWidth="10" defaultColWidth="11.5703125" defaultRowHeight="15" x14ac:dyDescent="0.25"/>
  <cols>
    <col min="1" max="1" width="6.5703125" customWidth="1"/>
    <col min="2" max="2" width="3" bestFit="1" customWidth="1"/>
    <col min="3" max="3" width="59.140625" customWidth="1"/>
    <col min="4" max="4" width="23.85546875" customWidth="1"/>
    <col min="5" max="5" width="14.7109375" customWidth="1"/>
    <col min="6" max="6" width="14.7109375" bestFit="1" customWidth="1"/>
    <col min="8" max="8" width="6.5703125" customWidth="1"/>
    <col min="9" max="9" width="3" customWidth="1"/>
    <col min="10" max="10" width="59.140625" customWidth="1"/>
    <col min="11" max="11" width="23.85546875" customWidth="1"/>
    <col min="12" max="13" width="14.7109375" customWidth="1"/>
  </cols>
  <sheetData>
    <row r="1" spans="3:12" s="27" customFormat="1" ht="14.45" customHeight="1" x14ac:dyDescent="0.2"/>
    <row r="2" spans="3:12" s="27" customFormat="1" ht="14.45" customHeight="1" x14ac:dyDescent="0.2"/>
    <row r="3" spans="3:12" s="27" customFormat="1" ht="14.45" customHeight="1" x14ac:dyDescent="0.2">
      <c r="D3" s="225" t="s">
        <v>423</v>
      </c>
      <c r="E3" s="226"/>
      <c r="F3" s="226"/>
      <c r="G3" s="226"/>
      <c r="H3" s="226"/>
      <c r="I3" s="226"/>
      <c r="J3" s="226"/>
    </row>
    <row r="4" spans="3:12" s="27" customFormat="1" ht="14.45" customHeight="1" x14ac:dyDescent="0.2">
      <c r="D4" s="225"/>
      <c r="E4" s="226"/>
      <c r="F4" s="226"/>
      <c r="G4" s="226"/>
      <c r="H4" s="226"/>
      <c r="I4" s="226"/>
      <c r="J4" s="226"/>
    </row>
    <row r="5" spans="3:12" s="27" customFormat="1" ht="14.45" customHeight="1" x14ac:dyDescent="0.2">
      <c r="D5" s="225"/>
      <c r="E5" s="226"/>
      <c r="F5" s="226"/>
      <c r="G5" s="226"/>
      <c r="H5" s="226"/>
      <c r="I5" s="226"/>
      <c r="J5" s="226"/>
    </row>
    <row r="6" spans="3:12" s="27" customFormat="1" ht="14.45" customHeight="1" x14ac:dyDescent="0.2">
      <c r="D6" s="225"/>
      <c r="E6" s="226"/>
      <c r="F6" s="226"/>
      <c r="G6" s="226"/>
      <c r="H6" s="226"/>
      <c r="I6" s="226"/>
      <c r="J6" s="226"/>
    </row>
    <row r="7" spans="3:12" s="27" customFormat="1" ht="14.45" customHeight="1" x14ac:dyDescent="0.2">
      <c r="E7" s="5"/>
      <c r="F7" s="5"/>
      <c r="G7" s="5"/>
      <c r="H7" s="5"/>
      <c r="I7" s="5"/>
      <c r="J7" s="5"/>
    </row>
    <row r="8" spans="3:12" s="27" customFormat="1" ht="14.45" customHeight="1" x14ac:dyDescent="0.2">
      <c r="E8" s="5"/>
      <c r="F8" s="5"/>
      <c r="G8" s="5"/>
      <c r="H8" s="5"/>
      <c r="I8" s="5"/>
      <c r="J8" s="5"/>
    </row>
    <row r="9" spans="3:12" ht="14.45" customHeight="1" x14ac:dyDescent="0.25"/>
    <row r="10" spans="3:12" ht="22.5" customHeight="1" x14ac:dyDescent="0.25">
      <c r="C10" s="227" t="s">
        <v>52</v>
      </c>
      <c r="D10" s="254"/>
      <c r="E10" s="6"/>
      <c r="F10" s="6"/>
      <c r="J10" s="227" t="s">
        <v>53</v>
      </c>
      <c r="K10" s="229"/>
    </row>
    <row r="11" spans="3:12" ht="14.45" customHeight="1" x14ac:dyDescent="0.25"/>
    <row r="12" spans="3:12" ht="14.45" customHeight="1" x14ac:dyDescent="0.25">
      <c r="C12" s="14" t="s">
        <v>54</v>
      </c>
      <c r="D12" s="14" t="s">
        <v>55</v>
      </c>
      <c r="J12" s="14" t="str">
        <f>C12</f>
        <v>CONCEPTO</v>
      </c>
      <c r="K12" s="14" t="str">
        <f>D12</f>
        <v>Subtotal</v>
      </c>
    </row>
    <row r="13" spans="3:12" ht="14.45" customHeight="1" x14ac:dyDescent="0.25">
      <c r="C13" s="15" t="str">
        <f>A18</f>
        <v xml:space="preserve">1.- Acceso Vehicular </v>
      </c>
      <c r="D13" s="1">
        <f>ROUND(F85,2)</f>
        <v>52046.58</v>
      </c>
      <c r="J13" s="15" t="str">
        <f>C13</f>
        <v xml:space="preserve">1.- Acceso Vehicular </v>
      </c>
      <c r="K13" s="1">
        <f>ROUND(K85,2)</f>
        <v>950.56</v>
      </c>
      <c r="L13" s="2"/>
    </row>
    <row r="14" spans="3:12" ht="15.6" customHeight="1" x14ac:dyDescent="0.25">
      <c r="C14" s="16" t="s">
        <v>56</v>
      </c>
      <c r="D14" s="125">
        <f>SUM(D13)</f>
        <v>52046.58</v>
      </c>
      <c r="J14" s="126" t="str">
        <f t="shared" ref="J14" si="0">C14</f>
        <v>TOTALES</v>
      </c>
      <c r="K14" s="17">
        <f>SUM(K13)</f>
        <v>950.56</v>
      </c>
      <c r="L14" s="18"/>
    </row>
    <row r="15" spans="3:12" ht="14.45" customHeight="1" x14ac:dyDescent="0.25"/>
    <row r="16" spans="3:12" ht="14.45" customHeight="1" x14ac:dyDescent="0.25">
      <c r="J16" s="255" t="s">
        <v>57</v>
      </c>
      <c r="K16" s="256"/>
    </row>
    <row r="17" spans="1:13" ht="14.45" customHeight="1" x14ac:dyDescent="0.25"/>
    <row r="18" spans="1:13" x14ac:dyDescent="0.25">
      <c r="A18" s="219" t="s">
        <v>207</v>
      </c>
      <c r="B18" s="220"/>
      <c r="C18" s="221"/>
      <c r="D18" s="44"/>
      <c r="E18" s="44"/>
      <c r="F18" s="45"/>
      <c r="H18" s="219" t="str">
        <f>A18</f>
        <v xml:space="preserve">1.- Acceso Vehicular </v>
      </c>
      <c r="I18" s="220"/>
      <c r="J18" s="221"/>
      <c r="K18" s="44"/>
      <c r="L18" s="44"/>
      <c r="M18" s="44"/>
    </row>
    <row r="19" spans="1:13" ht="26.65" customHeight="1" x14ac:dyDescent="0.25">
      <c r="A19" s="253" t="s">
        <v>59</v>
      </c>
      <c r="B19" s="253"/>
      <c r="C19" s="127" t="s">
        <v>60</v>
      </c>
      <c r="D19" s="127" t="s">
        <v>61</v>
      </c>
      <c r="E19" s="128" t="s">
        <v>62</v>
      </c>
      <c r="F19" s="129" t="s">
        <v>63</v>
      </c>
      <c r="H19" s="253" t="s">
        <v>59</v>
      </c>
      <c r="I19" s="253"/>
      <c r="J19" s="128" t="str">
        <f>E19</f>
        <v>P/U</v>
      </c>
      <c r="K19" s="128" t="str">
        <f>F19</f>
        <v>TOTAL</v>
      </c>
    </row>
    <row r="20" spans="1:13" ht="14.65" customHeight="1" x14ac:dyDescent="0.25">
      <c r="A20" s="215" t="s">
        <v>229</v>
      </c>
      <c r="B20" s="216"/>
      <c r="C20" s="216"/>
      <c r="D20" s="216"/>
      <c r="E20" s="216"/>
      <c r="F20" s="217"/>
      <c r="H20" s="215" t="str">
        <f>A20</f>
        <v>SALIDA DE VEHICULOS</v>
      </c>
      <c r="I20" s="216"/>
      <c r="J20" s="216"/>
      <c r="K20" s="217"/>
    </row>
    <row r="21" spans="1:13" ht="255" x14ac:dyDescent="0.25">
      <c r="A21" s="84">
        <v>1</v>
      </c>
      <c r="B21" s="22" t="s">
        <v>33</v>
      </c>
      <c r="C21" s="23" t="s">
        <v>551</v>
      </c>
      <c r="D21" s="130" t="s">
        <v>441</v>
      </c>
      <c r="E21" s="94">
        <v>3225</v>
      </c>
      <c r="F21" s="95">
        <f t="shared" ref="F21:F50" si="1">ROUND(A21*E21,2)</f>
        <v>3225</v>
      </c>
      <c r="H21" s="84">
        <f t="shared" ref="H21:H32" si="2">A21</f>
        <v>1</v>
      </c>
      <c r="I21" s="22" t="str">
        <f t="shared" ref="I21:I32" si="3">B21</f>
        <v>ud</v>
      </c>
      <c r="J21" s="9"/>
      <c r="K21" s="26">
        <f t="shared" ref="K21:K46" si="4">ROUND(J21*H21,2)</f>
        <v>0</v>
      </c>
    </row>
    <row r="22" spans="1:13" ht="25.5" x14ac:dyDescent="0.25">
      <c r="A22" s="21">
        <v>1</v>
      </c>
      <c r="B22" s="22" t="s">
        <v>33</v>
      </c>
      <c r="C22" s="31" t="s">
        <v>442</v>
      </c>
      <c r="D22" s="31" t="s">
        <v>443</v>
      </c>
      <c r="E22" s="25">
        <v>615</v>
      </c>
      <c r="F22" s="95">
        <f t="shared" si="1"/>
        <v>615</v>
      </c>
      <c r="H22" s="84">
        <f t="shared" si="2"/>
        <v>1</v>
      </c>
      <c r="I22" s="22" t="str">
        <f t="shared" si="3"/>
        <v>ud</v>
      </c>
      <c r="J22" s="9"/>
      <c r="K22" s="26">
        <f t="shared" si="4"/>
        <v>0</v>
      </c>
    </row>
    <row r="23" spans="1:13" x14ac:dyDescent="0.25">
      <c r="A23" s="21">
        <v>1</v>
      </c>
      <c r="B23" s="22" t="s">
        <v>33</v>
      </c>
      <c r="C23" s="31" t="s">
        <v>444</v>
      </c>
      <c r="D23" s="31" t="s">
        <v>445</v>
      </c>
      <c r="E23" s="25">
        <v>406</v>
      </c>
      <c r="F23" s="95">
        <f t="shared" si="1"/>
        <v>406</v>
      </c>
      <c r="H23" s="84">
        <f t="shared" si="2"/>
        <v>1</v>
      </c>
      <c r="I23" s="22" t="str">
        <f t="shared" si="3"/>
        <v>ud</v>
      </c>
      <c r="J23" s="9"/>
      <c r="K23" s="26">
        <f t="shared" si="4"/>
        <v>0</v>
      </c>
    </row>
    <row r="24" spans="1:13" ht="25.5" x14ac:dyDescent="0.25">
      <c r="A24" s="21">
        <v>2</v>
      </c>
      <c r="B24" s="22" t="s">
        <v>33</v>
      </c>
      <c r="C24" s="31" t="s">
        <v>446</v>
      </c>
      <c r="D24" s="31" t="s">
        <v>210</v>
      </c>
      <c r="E24" s="25">
        <v>85</v>
      </c>
      <c r="F24" s="95">
        <f t="shared" si="1"/>
        <v>170</v>
      </c>
      <c r="H24" s="84">
        <f t="shared" si="2"/>
        <v>2</v>
      </c>
      <c r="I24" s="22" t="str">
        <f t="shared" si="3"/>
        <v>ud</v>
      </c>
      <c r="J24" s="9"/>
      <c r="K24" s="26">
        <f t="shared" si="4"/>
        <v>0</v>
      </c>
    </row>
    <row r="25" spans="1:13" ht="25.5" x14ac:dyDescent="0.25">
      <c r="A25" s="21">
        <v>1</v>
      </c>
      <c r="B25" s="22" t="s">
        <v>33</v>
      </c>
      <c r="C25" s="31" t="s">
        <v>447</v>
      </c>
      <c r="D25" s="31" t="s">
        <v>448</v>
      </c>
      <c r="E25" s="25">
        <v>235</v>
      </c>
      <c r="F25" s="95">
        <f t="shared" si="1"/>
        <v>235</v>
      </c>
      <c r="H25" s="84">
        <f t="shared" si="2"/>
        <v>1</v>
      </c>
      <c r="I25" s="22" t="str">
        <f t="shared" si="3"/>
        <v>ud</v>
      </c>
      <c r="J25" s="9"/>
      <c r="K25" s="26">
        <f t="shared" si="4"/>
        <v>0</v>
      </c>
    </row>
    <row r="26" spans="1:13" x14ac:dyDescent="0.25">
      <c r="A26" s="21">
        <v>1</v>
      </c>
      <c r="B26" s="22" t="s">
        <v>33</v>
      </c>
      <c r="C26" s="31" t="s">
        <v>449</v>
      </c>
      <c r="D26" s="31" t="s">
        <v>450</v>
      </c>
      <c r="E26" s="25">
        <v>490</v>
      </c>
      <c r="F26" s="95">
        <f t="shared" si="1"/>
        <v>490</v>
      </c>
      <c r="H26" s="84">
        <f t="shared" si="2"/>
        <v>1</v>
      </c>
      <c r="I26" s="22" t="str">
        <f t="shared" si="3"/>
        <v>ud</v>
      </c>
      <c r="J26" s="9"/>
      <c r="K26" s="26">
        <f t="shared" si="4"/>
        <v>0</v>
      </c>
    </row>
    <row r="27" spans="1:13" x14ac:dyDescent="0.25">
      <c r="A27" s="21">
        <v>1</v>
      </c>
      <c r="B27" s="22" t="s">
        <v>33</v>
      </c>
      <c r="C27" s="31" t="s">
        <v>451</v>
      </c>
      <c r="D27" s="31" t="s">
        <v>452</v>
      </c>
      <c r="E27" s="25">
        <v>120</v>
      </c>
      <c r="F27" s="95">
        <f t="shared" si="1"/>
        <v>120</v>
      </c>
      <c r="H27" s="84">
        <f t="shared" si="2"/>
        <v>1</v>
      </c>
      <c r="I27" s="22" t="str">
        <f t="shared" si="3"/>
        <v>ud</v>
      </c>
      <c r="J27" s="9"/>
      <c r="K27" s="26">
        <f t="shared" si="4"/>
        <v>0</v>
      </c>
    </row>
    <row r="28" spans="1:13" ht="25.5" x14ac:dyDescent="0.25">
      <c r="A28" s="21">
        <v>1</v>
      </c>
      <c r="B28" s="22" t="s">
        <v>33</v>
      </c>
      <c r="C28" s="31" t="s">
        <v>453</v>
      </c>
      <c r="D28" s="31" t="s">
        <v>454</v>
      </c>
      <c r="E28" s="25">
        <v>120</v>
      </c>
      <c r="F28" s="95">
        <f t="shared" si="1"/>
        <v>120</v>
      </c>
      <c r="H28" s="84">
        <f t="shared" si="2"/>
        <v>1</v>
      </c>
      <c r="I28" s="22" t="str">
        <f t="shared" si="3"/>
        <v>ud</v>
      </c>
      <c r="J28" s="9"/>
      <c r="K28" s="26">
        <f t="shared" si="4"/>
        <v>0</v>
      </c>
    </row>
    <row r="29" spans="1:13" ht="25.5" x14ac:dyDescent="0.25">
      <c r="A29" s="21">
        <v>1</v>
      </c>
      <c r="B29" s="22" t="s">
        <v>33</v>
      </c>
      <c r="C29" s="31" t="s">
        <v>455</v>
      </c>
      <c r="D29" s="31" t="s">
        <v>456</v>
      </c>
      <c r="E29" s="25">
        <v>170</v>
      </c>
      <c r="F29" s="95">
        <f t="shared" si="1"/>
        <v>170</v>
      </c>
      <c r="H29" s="84">
        <f t="shared" si="2"/>
        <v>1</v>
      </c>
      <c r="I29" s="22" t="str">
        <f t="shared" si="3"/>
        <v>ud</v>
      </c>
      <c r="J29" s="9"/>
      <c r="K29" s="26">
        <f t="shared" si="4"/>
        <v>0</v>
      </c>
    </row>
    <row r="30" spans="1:13" ht="26.25" x14ac:dyDescent="0.25">
      <c r="A30" s="21">
        <v>1</v>
      </c>
      <c r="B30" s="22" t="s">
        <v>33</v>
      </c>
      <c r="C30" s="31" t="s">
        <v>457</v>
      </c>
      <c r="D30" s="31" t="s">
        <v>458</v>
      </c>
      <c r="E30" s="25">
        <v>1215</v>
      </c>
      <c r="F30" s="95">
        <f t="shared" si="1"/>
        <v>1215</v>
      </c>
      <c r="H30" s="84">
        <f t="shared" si="2"/>
        <v>1</v>
      </c>
      <c r="I30" s="22" t="str">
        <f t="shared" si="3"/>
        <v>ud</v>
      </c>
      <c r="J30" s="9"/>
      <c r="K30" s="26">
        <f t="shared" si="4"/>
        <v>0</v>
      </c>
    </row>
    <row r="31" spans="1:13" ht="38.25" x14ac:dyDescent="0.25">
      <c r="A31" s="21">
        <v>1</v>
      </c>
      <c r="B31" s="22" t="s">
        <v>33</v>
      </c>
      <c r="C31" s="31" t="s">
        <v>211</v>
      </c>
      <c r="D31" s="31" t="s">
        <v>212</v>
      </c>
      <c r="E31" s="25">
        <v>1668.5</v>
      </c>
      <c r="F31" s="95">
        <f t="shared" si="1"/>
        <v>1668.5</v>
      </c>
      <c r="H31" s="84">
        <f t="shared" si="2"/>
        <v>1</v>
      </c>
      <c r="I31" s="22" t="str">
        <f t="shared" si="3"/>
        <v>ud</v>
      </c>
      <c r="J31" s="9"/>
      <c r="K31" s="26">
        <f t="shared" si="4"/>
        <v>0</v>
      </c>
    </row>
    <row r="32" spans="1:13" ht="51" x14ac:dyDescent="0.25">
      <c r="A32" s="21">
        <v>2</v>
      </c>
      <c r="B32" s="22" t="s">
        <v>33</v>
      </c>
      <c r="C32" s="31" t="s">
        <v>213</v>
      </c>
      <c r="D32" s="31" t="s">
        <v>214</v>
      </c>
      <c r="E32" s="25">
        <v>1684.8</v>
      </c>
      <c r="F32" s="95">
        <f t="shared" si="1"/>
        <v>3369.6</v>
      </c>
      <c r="H32" s="84">
        <f t="shared" si="2"/>
        <v>2</v>
      </c>
      <c r="I32" s="22" t="str">
        <f t="shared" si="3"/>
        <v>ud</v>
      </c>
      <c r="J32" s="9"/>
      <c r="K32" s="26">
        <f t="shared" si="4"/>
        <v>0</v>
      </c>
    </row>
    <row r="33" spans="1:13" ht="25.5" x14ac:dyDescent="0.25">
      <c r="A33" s="84">
        <v>2</v>
      </c>
      <c r="B33" s="22" t="s">
        <v>33</v>
      </c>
      <c r="C33" s="31" t="s">
        <v>215</v>
      </c>
      <c r="D33" s="31" t="s">
        <v>216</v>
      </c>
      <c r="E33" s="25">
        <v>235</v>
      </c>
      <c r="F33" s="95">
        <f t="shared" si="1"/>
        <v>470</v>
      </c>
      <c r="H33" s="84">
        <f t="shared" ref="H33:H50" si="5">A33</f>
        <v>2</v>
      </c>
      <c r="I33" s="22" t="str">
        <f t="shared" ref="I33:I50" si="6">B33</f>
        <v>ud</v>
      </c>
      <c r="J33" s="9"/>
      <c r="K33" s="26">
        <f t="shared" si="4"/>
        <v>0</v>
      </c>
    </row>
    <row r="34" spans="1:13" s="27" customFormat="1" ht="25.5" x14ac:dyDescent="0.25">
      <c r="A34" s="84">
        <v>2</v>
      </c>
      <c r="B34" s="22" t="s">
        <v>33</v>
      </c>
      <c r="C34" s="31" t="s">
        <v>555</v>
      </c>
      <c r="D34" s="31" t="s">
        <v>556</v>
      </c>
      <c r="E34" s="25">
        <v>228</v>
      </c>
      <c r="F34" s="95">
        <f t="shared" si="1"/>
        <v>456</v>
      </c>
      <c r="G34" s="53"/>
      <c r="H34" s="84">
        <f t="shared" si="5"/>
        <v>2</v>
      </c>
      <c r="I34" s="22" t="str">
        <f t="shared" si="6"/>
        <v>ud</v>
      </c>
      <c r="J34" s="9"/>
      <c r="K34" s="26">
        <f t="shared" si="4"/>
        <v>0</v>
      </c>
      <c r="L34"/>
      <c r="M34"/>
    </row>
    <row r="35" spans="1:13" ht="38.25" x14ac:dyDescent="0.25">
      <c r="A35" s="131">
        <v>2</v>
      </c>
      <c r="B35" s="132" t="s">
        <v>33</v>
      </c>
      <c r="C35" s="23" t="s">
        <v>157</v>
      </c>
      <c r="D35" s="31" t="s">
        <v>545</v>
      </c>
      <c r="E35" s="94">
        <v>265</v>
      </c>
      <c r="F35" s="95">
        <f t="shared" si="1"/>
        <v>530</v>
      </c>
      <c r="H35" s="84">
        <f t="shared" si="5"/>
        <v>2</v>
      </c>
      <c r="I35" s="22" t="str">
        <f t="shared" si="6"/>
        <v>ud</v>
      </c>
      <c r="J35" s="9"/>
      <c r="K35" s="26">
        <f t="shared" si="4"/>
        <v>0</v>
      </c>
    </row>
    <row r="36" spans="1:13" ht="25.5" x14ac:dyDescent="0.25">
      <c r="A36" s="131">
        <v>2</v>
      </c>
      <c r="B36" s="132" t="s">
        <v>33</v>
      </c>
      <c r="C36" s="23" t="s">
        <v>553</v>
      </c>
      <c r="D36" s="31" t="s">
        <v>554</v>
      </c>
      <c r="E36" s="94">
        <v>50</v>
      </c>
      <c r="F36" s="95">
        <f t="shared" ref="F36" si="7">ROUND(A36*E36,2)</f>
        <v>100</v>
      </c>
      <c r="H36" s="84">
        <f t="shared" ref="H36" si="8">A36</f>
        <v>2</v>
      </c>
      <c r="I36" s="22" t="str">
        <f t="shared" ref="I36" si="9">B36</f>
        <v>ud</v>
      </c>
      <c r="J36" s="9"/>
      <c r="K36" s="26">
        <f t="shared" si="4"/>
        <v>0</v>
      </c>
    </row>
    <row r="37" spans="1:13" ht="38.25" x14ac:dyDescent="0.25">
      <c r="A37" s="21">
        <v>1</v>
      </c>
      <c r="B37" s="22" t="s">
        <v>33</v>
      </c>
      <c r="C37" s="23" t="s">
        <v>217</v>
      </c>
      <c r="D37" s="31" t="s">
        <v>218</v>
      </c>
      <c r="E37" s="94">
        <v>1250</v>
      </c>
      <c r="F37" s="95">
        <f t="shared" si="1"/>
        <v>1250</v>
      </c>
      <c r="H37" s="84">
        <f t="shared" si="5"/>
        <v>1</v>
      </c>
      <c r="I37" s="22" t="str">
        <f t="shared" si="6"/>
        <v>ud</v>
      </c>
      <c r="J37" s="9"/>
      <c r="K37" s="26">
        <f t="shared" si="4"/>
        <v>0</v>
      </c>
    </row>
    <row r="38" spans="1:13" ht="25.5" x14ac:dyDescent="0.25">
      <c r="A38" s="21">
        <v>1</v>
      </c>
      <c r="B38" s="22" t="s">
        <v>33</v>
      </c>
      <c r="C38" s="23" t="s">
        <v>219</v>
      </c>
      <c r="D38" s="31" t="s">
        <v>459</v>
      </c>
      <c r="E38" s="94">
        <v>1530</v>
      </c>
      <c r="F38" s="95">
        <f t="shared" si="1"/>
        <v>1530</v>
      </c>
      <c r="H38" s="84">
        <f t="shared" si="5"/>
        <v>1</v>
      </c>
      <c r="I38" s="22" t="str">
        <f t="shared" si="6"/>
        <v>ud</v>
      </c>
      <c r="J38" s="9"/>
      <c r="K38" s="26">
        <f t="shared" si="4"/>
        <v>0</v>
      </c>
    </row>
    <row r="39" spans="1:13" ht="63.75" x14ac:dyDescent="0.25">
      <c r="A39" s="133">
        <v>1</v>
      </c>
      <c r="B39" s="22" t="s">
        <v>33</v>
      </c>
      <c r="C39" s="23" t="s">
        <v>220</v>
      </c>
      <c r="D39" s="24" t="s">
        <v>221</v>
      </c>
      <c r="E39" s="25">
        <v>30.5</v>
      </c>
      <c r="F39" s="95">
        <f t="shared" si="1"/>
        <v>30.5</v>
      </c>
      <c r="H39" s="84">
        <f t="shared" si="5"/>
        <v>1</v>
      </c>
      <c r="I39" s="22" t="str">
        <f t="shared" si="6"/>
        <v>ud</v>
      </c>
      <c r="J39" s="9"/>
      <c r="K39" s="26">
        <f t="shared" si="4"/>
        <v>0</v>
      </c>
    </row>
    <row r="40" spans="1:13" ht="40.9" customHeight="1" x14ac:dyDescent="0.25">
      <c r="A40" s="21">
        <v>1</v>
      </c>
      <c r="B40" s="22" t="s">
        <v>33</v>
      </c>
      <c r="C40" s="23" t="s">
        <v>222</v>
      </c>
      <c r="D40" s="23" t="s">
        <v>223</v>
      </c>
      <c r="E40" s="94">
        <v>256.3</v>
      </c>
      <c r="F40" s="95">
        <f t="shared" si="1"/>
        <v>256.3</v>
      </c>
      <c r="H40" s="84">
        <f t="shared" si="5"/>
        <v>1</v>
      </c>
      <c r="I40" s="22" t="str">
        <f t="shared" si="6"/>
        <v>ud</v>
      </c>
      <c r="J40" s="9"/>
      <c r="K40" s="26">
        <f t="shared" si="4"/>
        <v>0</v>
      </c>
    </row>
    <row r="41" spans="1:13" s="27" customFormat="1" ht="51" x14ac:dyDescent="0.2">
      <c r="A41" s="21">
        <v>1</v>
      </c>
      <c r="B41" s="22" t="s">
        <v>33</v>
      </c>
      <c r="C41" s="23" t="s">
        <v>224</v>
      </c>
      <c r="D41" s="31" t="s">
        <v>225</v>
      </c>
      <c r="E41" s="25">
        <v>4230</v>
      </c>
      <c r="F41" s="95">
        <f t="shared" si="1"/>
        <v>4230</v>
      </c>
      <c r="G41" s="53"/>
      <c r="H41" s="84">
        <f t="shared" si="5"/>
        <v>1</v>
      </c>
      <c r="I41" s="22" t="str">
        <f t="shared" si="6"/>
        <v>ud</v>
      </c>
      <c r="J41" s="9"/>
      <c r="K41" s="26">
        <f t="shared" si="4"/>
        <v>0</v>
      </c>
    </row>
    <row r="42" spans="1:13" s="27" customFormat="1" ht="12.75" x14ac:dyDescent="0.2">
      <c r="A42" s="21">
        <v>1</v>
      </c>
      <c r="B42" s="22" t="s">
        <v>33</v>
      </c>
      <c r="C42" s="23" t="s">
        <v>460</v>
      </c>
      <c r="D42" s="31" t="s">
        <v>461</v>
      </c>
      <c r="E42" s="25">
        <v>92</v>
      </c>
      <c r="F42" s="95">
        <f t="shared" si="1"/>
        <v>92</v>
      </c>
      <c r="G42" s="53"/>
      <c r="H42" s="84">
        <f t="shared" si="5"/>
        <v>1</v>
      </c>
      <c r="I42" s="22" t="str">
        <f t="shared" si="6"/>
        <v>ud</v>
      </c>
      <c r="J42" s="9"/>
      <c r="K42" s="26">
        <f t="shared" si="4"/>
        <v>0</v>
      </c>
    </row>
    <row r="43" spans="1:13" s="27" customFormat="1" ht="25.5" x14ac:dyDescent="0.2">
      <c r="A43" s="21">
        <v>1</v>
      </c>
      <c r="B43" s="22" t="s">
        <v>33</v>
      </c>
      <c r="C43" s="23" t="s">
        <v>463</v>
      </c>
      <c r="D43" s="31" t="s">
        <v>465</v>
      </c>
      <c r="E43" s="25">
        <v>100</v>
      </c>
      <c r="F43" s="95">
        <f t="shared" si="1"/>
        <v>100</v>
      </c>
      <c r="G43" s="53"/>
      <c r="H43" s="84">
        <f t="shared" ref="H43" si="10">A43</f>
        <v>1</v>
      </c>
      <c r="I43" s="22" t="str">
        <f t="shared" ref="I43" si="11">B43</f>
        <v>ud</v>
      </c>
      <c r="J43" s="9"/>
      <c r="K43" s="26">
        <f t="shared" si="4"/>
        <v>0</v>
      </c>
    </row>
    <row r="44" spans="1:13" ht="38.25" x14ac:dyDescent="0.25">
      <c r="A44" s="21">
        <v>2</v>
      </c>
      <c r="B44" s="22" t="s">
        <v>33</v>
      </c>
      <c r="C44" s="23" t="s">
        <v>230</v>
      </c>
      <c r="D44" s="23" t="s">
        <v>231</v>
      </c>
      <c r="E44" s="94">
        <v>377.4</v>
      </c>
      <c r="F44" s="95">
        <f>ROUND(A44*E44,2)</f>
        <v>754.8</v>
      </c>
      <c r="H44" s="84">
        <f t="shared" si="5"/>
        <v>2</v>
      </c>
      <c r="I44" s="22" t="str">
        <f t="shared" si="6"/>
        <v>ud</v>
      </c>
      <c r="J44" s="9"/>
      <c r="K44" s="26">
        <f t="shared" si="4"/>
        <v>0</v>
      </c>
    </row>
    <row r="45" spans="1:13" ht="51" x14ac:dyDescent="0.25">
      <c r="A45" s="21">
        <f>20*10</f>
        <v>200</v>
      </c>
      <c r="B45" s="22" t="s">
        <v>67</v>
      </c>
      <c r="C45" s="56" t="s">
        <v>101</v>
      </c>
      <c r="D45" s="190" t="s">
        <v>272</v>
      </c>
      <c r="E45" s="146">
        <v>5.3</v>
      </c>
      <c r="F45" s="95">
        <f t="shared" si="1"/>
        <v>1060</v>
      </c>
      <c r="H45" s="84">
        <f t="shared" si="5"/>
        <v>200</v>
      </c>
      <c r="I45" s="22" t="str">
        <f t="shared" si="6"/>
        <v>ml</v>
      </c>
      <c r="J45" s="9"/>
      <c r="K45" s="26">
        <f t="shared" si="4"/>
        <v>0</v>
      </c>
    </row>
    <row r="46" spans="1:13" ht="39" customHeight="1" x14ac:dyDescent="0.25">
      <c r="A46" s="21">
        <f>30*2</f>
        <v>60</v>
      </c>
      <c r="B46" s="22" t="s">
        <v>67</v>
      </c>
      <c r="C46" s="191" t="s">
        <v>273</v>
      </c>
      <c r="D46" s="190" t="s">
        <v>274</v>
      </c>
      <c r="E46" s="146">
        <v>1.85</v>
      </c>
      <c r="F46" s="95">
        <f t="shared" si="1"/>
        <v>111</v>
      </c>
      <c r="H46" s="84">
        <f t="shared" si="5"/>
        <v>60</v>
      </c>
      <c r="I46" s="22" t="str">
        <f t="shared" si="6"/>
        <v>ml</v>
      </c>
      <c r="J46" s="9"/>
      <c r="K46" s="26">
        <f t="shared" si="4"/>
        <v>0</v>
      </c>
    </row>
    <row r="47" spans="1:13" ht="102" x14ac:dyDescent="0.25">
      <c r="A47" s="21">
        <f>4*25</f>
        <v>100</v>
      </c>
      <c r="B47" s="22" t="s">
        <v>67</v>
      </c>
      <c r="C47" s="56" t="s">
        <v>112</v>
      </c>
      <c r="D47" s="79" t="s">
        <v>113</v>
      </c>
      <c r="E47" s="80">
        <v>2.2000000000000002</v>
      </c>
      <c r="F47" s="81">
        <f t="shared" si="1"/>
        <v>220</v>
      </c>
      <c r="H47" s="84">
        <f t="shared" si="5"/>
        <v>100</v>
      </c>
      <c r="I47" s="22" t="str">
        <f t="shared" si="6"/>
        <v>ml</v>
      </c>
      <c r="J47" s="9"/>
      <c r="K47" s="26">
        <f>ROUND(J47*H47,2)</f>
        <v>0</v>
      </c>
    </row>
    <row r="48" spans="1:13" ht="63.75" x14ac:dyDescent="0.25">
      <c r="A48" s="21">
        <v>50</v>
      </c>
      <c r="B48" s="22" t="s">
        <v>275</v>
      </c>
      <c r="C48" s="23" t="s">
        <v>276</v>
      </c>
      <c r="D48" s="23" t="s">
        <v>78</v>
      </c>
      <c r="E48" s="94">
        <v>12.95</v>
      </c>
      <c r="F48" s="95">
        <f t="shared" ref="F48" si="12">ROUND(A48*E48,2)</f>
        <v>647.5</v>
      </c>
      <c r="G48" s="27"/>
      <c r="H48" s="84">
        <f t="shared" ref="H48" si="13">A48</f>
        <v>50</v>
      </c>
      <c r="I48" s="22" t="str">
        <f t="shared" ref="I48" si="14">B48</f>
        <v>m</v>
      </c>
      <c r="J48" s="9"/>
      <c r="K48" s="26">
        <f>ROUND(J48*H48,2)</f>
        <v>0</v>
      </c>
    </row>
    <row r="49" spans="1:14" ht="123.6" customHeight="1" x14ac:dyDescent="0.25">
      <c r="A49" s="21">
        <v>10</v>
      </c>
      <c r="B49" s="22" t="s">
        <v>33</v>
      </c>
      <c r="C49" s="31" t="s">
        <v>591</v>
      </c>
      <c r="D49" s="31" t="s">
        <v>592</v>
      </c>
      <c r="E49" s="25">
        <v>9.1</v>
      </c>
      <c r="F49" s="26">
        <f t="shared" si="1"/>
        <v>91</v>
      </c>
      <c r="H49" s="21">
        <f t="shared" si="5"/>
        <v>10</v>
      </c>
      <c r="I49" s="22" t="str">
        <f t="shared" si="6"/>
        <v>ud</v>
      </c>
      <c r="J49" s="9"/>
      <c r="K49" s="136">
        <f>ROUND(J49*H49,2)</f>
        <v>0</v>
      </c>
    </row>
    <row r="50" spans="1:14" ht="58.9" customHeight="1" x14ac:dyDescent="0.25">
      <c r="A50" s="21">
        <v>5</v>
      </c>
      <c r="B50" s="22" t="s">
        <v>33</v>
      </c>
      <c r="C50" s="31" t="s">
        <v>158</v>
      </c>
      <c r="D50" s="31" t="s">
        <v>159</v>
      </c>
      <c r="E50" s="25">
        <v>6.15</v>
      </c>
      <c r="F50" s="26">
        <f t="shared" si="1"/>
        <v>30.75</v>
      </c>
      <c r="H50" s="21">
        <f t="shared" si="5"/>
        <v>5</v>
      </c>
      <c r="I50" s="22" t="str">
        <f t="shared" si="6"/>
        <v>ud</v>
      </c>
      <c r="J50" s="12"/>
      <c r="K50" s="136">
        <f>ROUND(J50*H50,2)</f>
        <v>0</v>
      </c>
    </row>
    <row r="51" spans="1:14" s="27" customFormat="1" ht="14.65" customHeight="1" x14ac:dyDescent="0.25">
      <c r="A51" s="215" t="s">
        <v>226</v>
      </c>
      <c r="B51" s="216"/>
      <c r="C51" s="216"/>
      <c r="D51" s="216"/>
      <c r="E51" s="216"/>
      <c r="F51" s="217"/>
      <c r="H51" s="215" t="str">
        <f>A51</f>
        <v>Partida de Montaje Equipos</v>
      </c>
      <c r="I51" s="216"/>
      <c r="J51" s="216"/>
      <c r="K51" s="217"/>
      <c r="L51"/>
      <c r="M51"/>
      <c r="N51"/>
    </row>
    <row r="52" spans="1:14" x14ac:dyDescent="0.25">
      <c r="A52" s="21">
        <v>1</v>
      </c>
      <c r="B52" s="22" t="s">
        <v>33</v>
      </c>
      <c r="C52" s="31" t="s">
        <v>419</v>
      </c>
      <c r="D52" s="31" t="s">
        <v>227</v>
      </c>
      <c r="E52" s="25">
        <f>2*24*100</f>
        <v>4800</v>
      </c>
      <c r="F52" s="26">
        <f>ROUND(A52*E52,2)</f>
        <v>4800</v>
      </c>
      <c r="H52" s="21">
        <v>1</v>
      </c>
      <c r="I52" s="22" t="str">
        <f>B52</f>
        <v>ud</v>
      </c>
      <c r="J52" s="9"/>
      <c r="K52" s="26">
        <f t="shared" ref="K52:K53" si="15">ROUND(J52*H52,2)</f>
        <v>0</v>
      </c>
    </row>
    <row r="53" spans="1:14" s="27" customFormat="1" ht="25.5" x14ac:dyDescent="0.2">
      <c r="A53" s="54">
        <v>1</v>
      </c>
      <c r="B53" s="55" t="s">
        <v>33</v>
      </c>
      <c r="C53" s="97" t="s">
        <v>228</v>
      </c>
      <c r="D53" s="97" t="s">
        <v>97</v>
      </c>
      <c r="E53" s="58">
        <f>0.02*(SUM(F21:F50))</f>
        <v>475.279</v>
      </c>
      <c r="F53" s="52">
        <f t="shared" ref="F53:F54" si="16">ROUND(A53*E53,2)</f>
        <v>475.28</v>
      </c>
      <c r="H53" s="54">
        <v>1</v>
      </c>
      <c r="I53" s="22" t="str">
        <f t="shared" ref="I53:I54" si="17">B53</f>
        <v>ud</v>
      </c>
      <c r="J53" s="134">
        <f>E53</f>
        <v>475.279</v>
      </c>
      <c r="K53" s="26">
        <f t="shared" si="15"/>
        <v>475.28</v>
      </c>
    </row>
    <row r="54" spans="1:14" s="27" customFormat="1" ht="25.5" x14ac:dyDescent="0.2">
      <c r="A54" s="59">
        <v>1</v>
      </c>
      <c r="B54" s="82" t="s">
        <v>33</v>
      </c>
      <c r="C54" s="109" t="s">
        <v>98</v>
      </c>
      <c r="D54" s="109" t="s">
        <v>99</v>
      </c>
      <c r="E54" s="135">
        <f>0.02*(SUM(F21:F50))</f>
        <v>475.279</v>
      </c>
      <c r="F54" s="136">
        <f t="shared" si="16"/>
        <v>475.28</v>
      </c>
      <c r="H54" s="59">
        <v>1</v>
      </c>
      <c r="I54" s="82" t="str">
        <f t="shared" si="17"/>
        <v>ud</v>
      </c>
      <c r="J54" s="134">
        <f>E54</f>
        <v>475.279</v>
      </c>
      <c r="K54" s="26">
        <f>ROUND(J54*H54,2)</f>
        <v>475.28</v>
      </c>
    </row>
    <row r="55" spans="1:14" ht="14.65" customHeight="1" x14ac:dyDescent="0.25">
      <c r="A55" s="215" t="s">
        <v>208</v>
      </c>
      <c r="B55" s="216"/>
      <c r="C55" s="216"/>
      <c r="D55" s="216"/>
      <c r="E55" s="216"/>
      <c r="F55" s="217"/>
      <c r="H55" s="215" t="str">
        <f>A55</f>
        <v>ENTRADA DE VEHICULOS</v>
      </c>
      <c r="I55" s="216"/>
      <c r="J55" s="216"/>
      <c r="K55" s="217"/>
      <c r="L55" s="27"/>
      <c r="M55" s="27"/>
    </row>
    <row r="56" spans="1:14" ht="25.5" x14ac:dyDescent="0.25">
      <c r="A56" s="21">
        <v>2</v>
      </c>
      <c r="B56" s="22" t="s">
        <v>33</v>
      </c>
      <c r="C56" s="31" t="s">
        <v>446</v>
      </c>
      <c r="D56" s="31" t="s">
        <v>210</v>
      </c>
      <c r="E56" s="25">
        <v>85</v>
      </c>
      <c r="F56" s="95">
        <f t="shared" ref="F56:F63" si="18">ROUND(A56*E56,2)</f>
        <v>170</v>
      </c>
      <c r="H56" s="84">
        <f t="shared" ref="H56:I63" si="19">A56</f>
        <v>2</v>
      </c>
      <c r="I56" s="22" t="str">
        <f t="shared" si="19"/>
        <v>ud</v>
      </c>
      <c r="J56" s="9"/>
      <c r="K56" s="26">
        <f t="shared" ref="K56:K77" si="20">ROUND(J56*H56,2)</f>
        <v>0</v>
      </c>
    </row>
    <row r="57" spans="1:14" ht="25.5" x14ac:dyDescent="0.25">
      <c r="A57" s="21">
        <v>1</v>
      </c>
      <c r="B57" s="22" t="s">
        <v>33</v>
      </c>
      <c r="C57" s="31" t="s">
        <v>447</v>
      </c>
      <c r="D57" s="31" t="s">
        <v>448</v>
      </c>
      <c r="E57" s="25">
        <v>235</v>
      </c>
      <c r="F57" s="95">
        <f t="shared" si="18"/>
        <v>235</v>
      </c>
      <c r="H57" s="84">
        <f t="shared" si="19"/>
        <v>1</v>
      </c>
      <c r="I57" s="22" t="str">
        <f t="shared" si="19"/>
        <v>ud</v>
      </c>
      <c r="J57" s="9"/>
      <c r="K57" s="26">
        <f t="shared" si="20"/>
        <v>0</v>
      </c>
    </row>
    <row r="58" spans="1:14" x14ac:dyDescent="0.25">
      <c r="A58" s="21">
        <v>1</v>
      </c>
      <c r="B58" s="22" t="s">
        <v>33</v>
      </c>
      <c r="C58" s="31" t="s">
        <v>449</v>
      </c>
      <c r="D58" s="31" t="s">
        <v>450</v>
      </c>
      <c r="E58" s="25">
        <v>490</v>
      </c>
      <c r="F58" s="95">
        <f t="shared" si="18"/>
        <v>490</v>
      </c>
      <c r="H58" s="84">
        <f t="shared" si="19"/>
        <v>1</v>
      </c>
      <c r="I58" s="22" t="str">
        <f t="shared" si="19"/>
        <v>ud</v>
      </c>
      <c r="J58" s="9"/>
      <c r="K58" s="26">
        <f t="shared" si="20"/>
        <v>0</v>
      </c>
    </row>
    <row r="59" spans="1:14" x14ac:dyDescent="0.25">
      <c r="A59" s="21">
        <v>1</v>
      </c>
      <c r="B59" s="22" t="s">
        <v>33</v>
      </c>
      <c r="C59" s="31" t="s">
        <v>451</v>
      </c>
      <c r="D59" s="31" t="s">
        <v>452</v>
      </c>
      <c r="E59" s="25">
        <v>120</v>
      </c>
      <c r="F59" s="95">
        <f t="shared" si="18"/>
        <v>120</v>
      </c>
      <c r="H59" s="84">
        <f t="shared" si="19"/>
        <v>1</v>
      </c>
      <c r="I59" s="22" t="str">
        <f t="shared" si="19"/>
        <v>ud</v>
      </c>
      <c r="J59" s="9"/>
      <c r="K59" s="26">
        <f t="shared" si="20"/>
        <v>0</v>
      </c>
    </row>
    <row r="60" spans="1:14" ht="25.5" x14ac:dyDescent="0.25">
      <c r="A60" s="21">
        <v>1</v>
      </c>
      <c r="B60" s="22" t="s">
        <v>33</v>
      </c>
      <c r="C60" s="31" t="s">
        <v>453</v>
      </c>
      <c r="D60" s="31" t="s">
        <v>454</v>
      </c>
      <c r="E60" s="25">
        <v>120</v>
      </c>
      <c r="F60" s="95">
        <f t="shared" si="18"/>
        <v>120</v>
      </c>
      <c r="H60" s="84">
        <f t="shared" si="19"/>
        <v>1</v>
      </c>
      <c r="I60" s="22" t="str">
        <f t="shared" si="19"/>
        <v>ud</v>
      </c>
      <c r="J60" s="9"/>
      <c r="K60" s="26">
        <f t="shared" si="20"/>
        <v>0</v>
      </c>
    </row>
    <row r="61" spans="1:14" ht="25.5" x14ac:dyDescent="0.25">
      <c r="A61" s="21">
        <v>1</v>
      </c>
      <c r="B61" s="22" t="s">
        <v>33</v>
      </c>
      <c r="C61" s="31" t="s">
        <v>455</v>
      </c>
      <c r="D61" s="31" t="s">
        <v>456</v>
      </c>
      <c r="E61" s="25">
        <v>170</v>
      </c>
      <c r="F61" s="95">
        <f t="shared" si="18"/>
        <v>170</v>
      </c>
      <c r="H61" s="84">
        <f t="shared" si="19"/>
        <v>1</v>
      </c>
      <c r="I61" s="22" t="str">
        <f t="shared" si="19"/>
        <v>ud</v>
      </c>
      <c r="J61" s="9"/>
      <c r="K61" s="26">
        <f t="shared" si="20"/>
        <v>0</v>
      </c>
    </row>
    <row r="62" spans="1:14" ht="26.25" x14ac:dyDescent="0.25">
      <c r="A62" s="21">
        <v>1</v>
      </c>
      <c r="B62" s="22" t="s">
        <v>33</v>
      </c>
      <c r="C62" s="31" t="s">
        <v>457</v>
      </c>
      <c r="D62" s="31" t="s">
        <v>458</v>
      </c>
      <c r="E62" s="25">
        <v>1215</v>
      </c>
      <c r="F62" s="95">
        <f t="shared" si="18"/>
        <v>1215</v>
      </c>
      <c r="H62" s="84">
        <f t="shared" si="19"/>
        <v>1</v>
      </c>
      <c r="I62" s="22" t="str">
        <f t="shared" si="19"/>
        <v>ud</v>
      </c>
      <c r="J62" s="9"/>
      <c r="K62" s="26">
        <f t="shared" si="20"/>
        <v>0</v>
      </c>
    </row>
    <row r="63" spans="1:14" ht="38.25" x14ac:dyDescent="0.25">
      <c r="A63" s="21">
        <v>1</v>
      </c>
      <c r="B63" s="22" t="s">
        <v>33</v>
      </c>
      <c r="C63" s="31" t="s">
        <v>211</v>
      </c>
      <c r="D63" s="31" t="s">
        <v>212</v>
      </c>
      <c r="E63" s="25">
        <v>1668.46</v>
      </c>
      <c r="F63" s="95">
        <f t="shared" si="18"/>
        <v>1668.46</v>
      </c>
      <c r="H63" s="84">
        <f t="shared" si="19"/>
        <v>1</v>
      </c>
      <c r="I63" s="22" t="str">
        <f t="shared" si="19"/>
        <v>ud</v>
      </c>
      <c r="J63" s="9"/>
      <c r="K63" s="26">
        <f t="shared" si="20"/>
        <v>0</v>
      </c>
    </row>
    <row r="64" spans="1:14" ht="51" x14ac:dyDescent="0.25">
      <c r="A64" s="21">
        <v>2</v>
      </c>
      <c r="B64" s="22" t="s">
        <v>33</v>
      </c>
      <c r="C64" s="31" t="s">
        <v>213</v>
      </c>
      <c r="D64" s="31" t="s">
        <v>214</v>
      </c>
      <c r="E64" s="25">
        <v>1684.8</v>
      </c>
      <c r="F64" s="95">
        <f t="shared" ref="F64:F73" si="21">ROUND(A64*E64,2)</f>
        <v>3369.6</v>
      </c>
      <c r="H64" s="84">
        <f t="shared" ref="H64:H80" si="22">A64</f>
        <v>2</v>
      </c>
      <c r="I64" s="22" t="str">
        <f t="shared" ref="I64:I80" si="23">B64</f>
        <v>ud</v>
      </c>
      <c r="J64" s="9"/>
      <c r="K64" s="26">
        <f t="shared" si="20"/>
        <v>0</v>
      </c>
    </row>
    <row r="65" spans="1:13" ht="25.5" x14ac:dyDescent="0.25">
      <c r="A65" s="84">
        <v>2</v>
      </c>
      <c r="B65" s="22" t="s">
        <v>33</v>
      </c>
      <c r="C65" s="31" t="s">
        <v>215</v>
      </c>
      <c r="D65" s="31" t="s">
        <v>216</v>
      </c>
      <c r="E65" s="25">
        <v>235</v>
      </c>
      <c r="F65" s="95">
        <f t="shared" si="21"/>
        <v>470</v>
      </c>
      <c r="H65" s="84">
        <f t="shared" si="22"/>
        <v>2</v>
      </c>
      <c r="I65" s="22" t="str">
        <f t="shared" si="23"/>
        <v>ud</v>
      </c>
      <c r="J65" s="9"/>
      <c r="K65" s="26">
        <f t="shared" si="20"/>
        <v>0</v>
      </c>
    </row>
    <row r="66" spans="1:13" s="27" customFormat="1" ht="25.5" x14ac:dyDescent="0.25">
      <c r="A66" s="84">
        <v>2</v>
      </c>
      <c r="B66" s="22" t="s">
        <v>33</v>
      </c>
      <c r="C66" s="31" t="s">
        <v>555</v>
      </c>
      <c r="D66" s="31" t="s">
        <v>556</v>
      </c>
      <c r="E66" s="25">
        <v>228</v>
      </c>
      <c r="F66" s="95">
        <f t="shared" si="21"/>
        <v>456</v>
      </c>
      <c r="G66" s="53"/>
      <c r="H66" s="84">
        <f t="shared" si="22"/>
        <v>2</v>
      </c>
      <c r="I66" s="22" t="str">
        <f t="shared" si="23"/>
        <v>ud</v>
      </c>
      <c r="J66" s="9"/>
      <c r="K66" s="26">
        <f t="shared" si="20"/>
        <v>0</v>
      </c>
      <c r="L66"/>
      <c r="M66"/>
    </row>
    <row r="67" spans="1:13" ht="38.25" x14ac:dyDescent="0.25">
      <c r="A67" s="131">
        <v>2</v>
      </c>
      <c r="B67" s="132" t="s">
        <v>33</v>
      </c>
      <c r="C67" s="23" t="s">
        <v>157</v>
      </c>
      <c r="D67" s="31" t="s">
        <v>545</v>
      </c>
      <c r="E67" s="94">
        <v>265</v>
      </c>
      <c r="F67" s="95">
        <f t="shared" si="21"/>
        <v>530</v>
      </c>
      <c r="H67" s="84">
        <f t="shared" si="22"/>
        <v>2</v>
      </c>
      <c r="I67" s="22" t="str">
        <f t="shared" si="23"/>
        <v>ud</v>
      </c>
      <c r="J67" s="9"/>
      <c r="K67" s="26">
        <f t="shared" si="20"/>
        <v>0</v>
      </c>
    </row>
    <row r="68" spans="1:13" ht="25.5" x14ac:dyDescent="0.25">
      <c r="A68" s="131">
        <v>2</v>
      </c>
      <c r="B68" s="132" t="s">
        <v>33</v>
      </c>
      <c r="C68" s="23" t="s">
        <v>553</v>
      </c>
      <c r="D68" s="31" t="s">
        <v>554</v>
      </c>
      <c r="E68" s="94">
        <v>50</v>
      </c>
      <c r="F68" s="95">
        <f t="shared" si="21"/>
        <v>100</v>
      </c>
      <c r="H68" s="84">
        <f t="shared" si="22"/>
        <v>2</v>
      </c>
      <c r="I68" s="22" t="str">
        <f t="shared" si="23"/>
        <v>ud</v>
      </c>
      <c r="J68" s="9"/>
      <c r="K68" s="26">
        <f t="shared" si="20"/>
        <v>0</v>
      </c>
    </row>
    <row r="69" spans="1:13" s="27" customFormat="1" ht="25.5" x14ac:dyDescent="0.2">
      <c r="A69" s="21">
        <v>1</v>
      </c>
      <c r="B69" s="22" t="s">
        <v>33</v>
      </c>
      <c r="C69" s="23" t="s">
        <v>219</v>
      </c>
      <c r="D69" s="31" t="s">
        <v>459</v>
      </c>
      <c r="E69" s="94">
        <v>1530</v>
      </c>
      <c r="F69" s="95">
        <f t="shared" si="21"/>
        <v>1530</v>
      </c>
      <c r="G69" s="53"/>
      <c r="H69" s="84">
        <f t="shared" si="22"/>
        <v>1</v>
      </c>
      <c r="I69" s="22" t="str">
        <f t="shared" si="23"/>
        <v>ud</v>
      </c>
      <c r="J69" s="9"/>
      <c r="K69" s="26">
        <f t="shared" si="20"/>
        <v>0</v>
      </c>
    </row>
    <row r="70" spans="1:13" ht="63.75" x14ac:dyDescent="0.25">
      <c r="A70" s="133">
        <v>1</v>
      </c>
      <c r="B70" s="22" t="s">
        <v>33</v>
      </c>
      <c r="C70" s="31" t="s">
        <v>220</v>
      </c>
      <c r="D70" s="24" t="s">
        <v>221</v>
      </c>
      <c r="E70" s="25">
        <v>30.5</v>
      </c>
      <c r="F70" s="95">
        <f t="shared" si="21"/>
        <v>30.5</v>
      </c>
      <c r="H70" s="84">
        <f t="shared" si="22"/>
        <v>1</v>
      </c>
      <c r="I70" s="22" t="str">
        <f t="shared" si="23"/>
        <v>ud</v>
      </c>
      <c r="J70" s="9"/>
      <c r="K70" s="26">
        <f t="shared" si="20"/>
        <v>0</v>
      </c>
    </row>
    <row r="71" spans="1:13" ht="51" x14ac:dyDescent="0.25">
      <c r="A71" s="21">
        <v>1</v>
      </c>
      <c r="B71" s="22" t="s">
        <v>33</v>
      </c>
      <c r="C71" s="23" t="s">
        <v>224</v>
      </c>
      <c r="D71" s="31" t="s">
        <v>225</v>
      </c>
      <c r="E71" s="25">
        <v>4230</v>
      </c>
      <c r="F71" s="95">
        <f t="shared" si="21"/>
        <v>4230</v>
      </c>
      <c r="H71" s="84">
        <f t="shared" si="22"/>
        <v>1</v>
      </c>
      <c r="I71" s="22" t="str">
        <f t="shared" si="23"/>
        <v>ud</v>
      </c>
      <c r="J71" s="9"/>
      <c r="K71" s="26">
        <f t="shared" si="20"/>
        <v>0</v>
      </c>
    </row>
    <row r="72" spans="1:13" x14ac:dyDescent="0.25">
      <c r="A72" s="21">
        <v>1</v>
      </c>
      <c r="B72" s="22" t="s">
        <v>33</v>
      </c>
      <c r="C72" s="23" t="s">
        <v>460</v>
      </c>
      <c r="D72" s="31" t="s">
        <v>461</v>
      </c>
      <c r="E72" s="25">
        <v>92</v>
      </c>
      <c r="F72" s="95">
        <f t="shared" si="21"/>
        <v>92</v>
      </c>
      <c r="H72" s="84">
        <f t="shared" si="22"/>
        <v>1</v>
      </c>
      <c r="I72" s="22" t="str">
        <f t="shared" si="23"/>
        <v>ud</v>
      </c>
      <c r="J72" s="9"/>
      <c r="K72" s="26">
        <f t="shared" si="20"/>
        <v>0</v>
      </c>
    </row>
    <row r="73" spans="1:13" s="27" customFormat="1" ht="25.5" x14ac:dyDescent="0.2">
      <c r="A73" s="21">
        <v>1</v>
      </c>
      <c r="B73" s="22" t="s">
        <v>33</v>
      </c>
      <c r="C73" s="23" t="s">
        <v>464</v>
      </c>
      <c r="D73" s="31" t="s">
        <v>466</v>
      </c>
      <c r="E73" s="25">
        <v>100</v>
      </c>
      <c r="F73" s="95">
        <f t="shared" si="21"/>
        <v>100</v>
      </c>
      <c r="G73" s="53"/>
      <c r="H73" s="84">
        <f t="shared" si="22"/>
        <v>1</v>
      </c>
      <c r="I73" s="22" t="str">
        <f t="shared" si="23"/>
        <v>ud</v>
      </c>
      <c r="J73" s="9"/>
      <c r="K73" s="26">
        <f t="shared" si="20"/>
        <v>0</v>
      </c>
    </row>
    <row r="74" spans="1:13" s="27" customFormat="1" ht="38.25" x14ac:dyDescent="0.2">
      <c r="A74" s="21">
        <v>2</v>
      </c>
      <c r="B74" s="22" t="s">
        <v>33</v>
      </c>
      <c r="C74" s="23" t="s">
        <v>230</v>
      </c>
      <c r="D74" s="23" t="s">
        <v>231</v>
      </c>
      <c r="E74" s="94">
        <v>377.4</v>
      </c>
      <c r="F74" s="95">
        <f>ROUND(A74*E74,2)</f>
        <v>754.8</v>
      </c>
      <c r="H74" s="84">
        <f t="shared" si="22"/>
        <v>2</v>
      </c>
      <c r="I74" s="22" t="str">
        <f t="shared" si="23"/>
        <v>ud</v>
      </c>
      <c r="J74" s="9"/>
      <c r="K74" s="26">
        <f t="shared" si="20"/>
        <v>0</v>
      </c>
    </row>
    <row r="75" spans="1:13" ht="51" x14ac:dyDescent="0.25">
      <c r="A75" s="21">
        <f>20*10</f>
        <v>200</v>
      </c>
      <c r="B75" s="22" t="s">
        <v>67</v>
      </c>
      <c r="C75" s="56" t="s">
        <v>101</v>
      </c>
      <c r="D75" s="190" t="s">
        <v>272</v>
      </c>
      <c r="E75" s="146">
        <v>5.3</v>
      </c>
      <c r="F75" s="95">
        <f t="shared" ref="F75:F80" si="24">ROUND(A75*E75,2)</f>
        <v>1060</v>
      </c>
      <c r="H75" s="84">
        <f t="shared" si="22"/>
        <v>200</v>
      </c>
      <c r="I75" s="22" t="str">
        <f t="shared" si="23"/>
        <v>ml</v>
      </c>
      <c r="J75" s="9"/>
      <c r="K75" s="26">
        <f t="shared" si="20"/>
        <v>0</v>
      </c>
    </row>
    <row r="76" spans="1:13" ht="39" customHeight="1" x14ac:dyDescent="0.25">
      <c r="A76" s="21">
        <f>30*2</f>
        <v>60</v>
      </c>
      <c r="B76" s="22" t="s">
        <v>67</v>
      </c>
      <c r="C76" s="191" t="s">
        <v>273</v>
      </c>
      <c r="D76" s="190" t="s">
        <v>274</v>
      </c>
      <c r="E76" s="146">
        <v>1.85</v>
      </c>
      <c r="F76" s="95">
        <f t="shared" si="24"/>
        <v>111</v>
      </c>
      <c r="H76" s="84">
        <f t="shared" si="22"/>
        <v>60</v>
      </c>
      <c r="I76" s="22" t="str">
        <f t="shared" si="23"/>
        <v>ml</v>
      </c>
      <c r="J76" s="9"/>
      <c r="K76" s="26">
        <f t="shared" si="20"/>
        <v>0</v>
      </c>
    </row>
    <row r="77" spans="1:13" s="27" customFormat="1" ht="102" x14ac:dyDescent="0.2">
      <c r="A77" s="21">
        <f>4*25</f>
        <v>100</v>
      </c>
      <c r="B77" s="22" t="s">
        <v>67</v>
      </c>
      <c r="C77" s="56" t="s">
        <v>112</v>
      </c>
      <c r="D77" s="79" t="s">
        <v>113</v>
      </c>
      <c r="E77" s="80">
        <v>2.2000000000000002</v>
      </c>
      <c r="F77" s="81">
        <f t="shared" si="24"/>
        <v>220</v>
      </c>
      <c r="G77" s="53"/>
      <c r="H77" s="84">
        <f t="shared" si="22"/>
        <v>100</v>
      </c>
      <c r="I77" s="22" t="str">
        <f t="shared" si="23"/>
        <v>ml</v>
      </c>
      <c r="J77" s="9"/>
      <c r="K77" s="26">
        <f t="shared" si="20"/>
        <v>0</v>
      </c>
    </row>
    <row r="78" spans="1:13" s="27" customFormat="1" ht="63.75" x14ac:dyDescent="0.25">
      <c r="A78" s="21">
        <v>50</v>
      </c>
      <c r="B78" s="22" t="s">
        <v>275</v>
      </c>
      <c r="C78" s="23" t="s">
        <v>276</v>
      </c>
      <c r="D78" s="23" t="s">
        <v>78</v>
      </c>
      <c r="E78" s="94">
        <v>12.95</v>
      </c>
      <c r="F78" s="95">
        <f t="shared" ref="F78" si="25">ROUND(A78*E78,2)</f>
        <v>647.5</v>
      </c>
      <c r="G78"/>
      <c r="H78" s="84">
        <f t="shared" ref="H78" si="26">A78</f>
        <v>50</v>
      </c>
      <c r="I78" s="22" t="str">
        <f t="shared" ref="I78" si="27">B78</f>
        <v>m</v>
      </c>
      <c r="J78" s="9"/>
      <c r="K78" s="26">
        <f>ROUND(J78*H78,2)</f>
        <v>0</v>
      </c>
    </row>
    <row r="79" spans="1:13" ht="123.6" customHeight="1" x14ac:dyDescent="0.25">
      <c r="A79" s="21">
        <v>10</v>
      </c>
      <c r="B79" s="22" t="s">
        <v>33</v>
      </c>
      <c r="C79" s="31" t="s">
        <v>591</v>
      </c>
      <c r="D79" s="31" t="s">
        <v>592</v>
      </c>
      <c r="E79" s="25">
        <v>9.1</v>
      </c>
      <c r="F79" s="26">
        <f t="shared" si="24"/>
        <v>91</v>
      </c>
      <c r="H79" s="21">
        <f t="shared" si="22"/>
        <v>10</v>
      </c>
      <c r="I79" s="22" t="str">
        <f t="shared" si="23"/>
        <v>ud</v>
      </c>
      <c r="J79" s="9"/>
      <c r="K79" s="136">
        <f>ROUND(J79*H79,2)</f>
        <v>0</v>
      </c>
    </row>
    <row r="80" spans="1:13" ht="58.9" customHeight="1" x14ac:dyDescent="0.25">
      <c r="A80" s="21">
        <v>5</v>
      </c>
      <c r="B80" s="22" t="s">
        <v>33</v>
      </c>
      <c r="C80" s="31" t="s">
        <v>158</v>
      </c>
      <c r="D80" s="31" t="s">
        <v>159</v>
      </c>
      <c r="E80" s="25">
        <v>6.15</v>
      </c>
      <c r="F80" s="26">
        <f t="shared" si="24"/>
        <v>30.75</v>
      </c>
      <c r="H80" s="21">
        <f t="shared" si="22"/>
        <v>5</v>
      </c>
      <c r="I80" s="22" t="str">
        <f t="shared" si="23"/>
        <v>ud</v>
      </c>
      <c r="J80" s="12"/>
      <c r="K80" s="136">
        <f>ROUND(J80*H80,2)</f>
        <v>0</v>
      </c>
    </row>
    <row r="81" spans="1:14" s="27" customFormat="1" ht="14.65" customHeight="1" x14ac:dyDescent="0.25">
      <c r="A81" s="215" t="s">
        <v>226</v>
      </c>
      <c r="B81" s="216"/>
      <c r="C81" s="216"/>
      <c r="D81" s="216"/>
      <c r="E81" s="216"/>
      <c r="F81" s="217"/>
      <c r="H81" s="215" t="str">
        <f>A81</f>
        <v>Partida de Montaje Equipos</v>
      </c>
      <c r="I81" s="216"/>
      <c r="J81" s="216"/>
      <c r="K81" s="217"/>
      <c r="L81"/>
      <c r="M81"/>
      <c r="N81"/>
    </row>
    <row r="82" spans="1:14" x14ac:dyDescent="0.25">
      <c r="A82" s="21">
        <v>1</v>
      </c>
      <c r="B82" s="22" t="s">
        <v>33</v>
      </c>
      <c r="C82" s="31" t="s">
        <v>462</v>
      </c>
      <c r="D82" s="31" t="s">
        <v>227</v>
      </c>
      <c r="E82" s="25">
        <f>2*19*100</f>
        <v>3800</v>
      </c>
      <c r="F82" s="26">
        <f>ROUND(A82*E82,2)</f>
        <v>3800</v>
      </c>
      <c r="H82" s="21">
        <v>1</v>
      </c>
      <c r="I82" s="22" t="str">
        <f>B82</f>
        <v>ud</v>
      </c>
      <c r="J82" s="9"/>
      <c r="K82" s="26">
        <f>ROUND(J82*H82,2)</f>
        <v>0</v>
      </c>
    </row>
    <row r="83" spans="1:14" s="27" customFormat="1" ht="25.5" x14ac:dyDescent="0.2">
      <c r="A83" s="54">
        <v>1</v>
      </c>
      <c r="B83" s="55" t="s">
        <v>33</v>
      </c>
      <c r="C83" s="97" t="s">
        <v>228</v>
      </c>
      <c r="D83" s="97" t="s">
        <v>97</v>
      </c>
      <c r="E83" s="58">
        <f>0.02*(SUM(F56:F80))</f>
        <v>360.23220000000003</v>
      </c>
      <c r="F83" s="52">
        <f t="shared" ref="F83:F84" si="28">ROUND(A83*E83,2)</f>
        <v>360.23</v>
      </c>
      <c r="H83" s="54">
        <v>1</v>
      </c>
      <c r="I83" s="22" t="str">
        <f t="shared" ref="I83:I84" si="29">B83</f>
        <v>ud</v>
      </c>
      <c r="J83" s="58">
        <f>0.02*(SUM(K56:K80))</f>
        <v>0</v>
      </c>
      <c r="K83" s="26">
        <f>ROUND(J83*H83,2)</f>
        <v>0</v>
      </c>
    </row>
    <row r="84" spans="1:14" s="27" customFormat="1" ht="25.5" x14ac:dyDescent="0.2">
      <c r="A84" s="32">
        <v>1</v>
      </c>
      <c r="B84" s="33" t="s">
        <v>33</v>
      </c>
      <c r="C84" s="34" t="s">
        <v>98</v>
      </c>
      <c r="D84" s="34" t="s">
        <v>99</v>
      </c>
      <c r="E84" s="71">
        <f>0.02*(SUM(F56:F80))</f>
        <v>360.23220000000003</v>
      </c>
      <c r="F84" s="63">
        <f t="shared" si="28"/>
        <v>360.23</v>
      </c>
      <c r="H84" s="32">
        <v>1</v>
      </c>
      <c r="I84" s="33" t="str">
        <f t="shared" si="29"/>
        <v>ud</v>
      </c>
      <c r="J84" s="71">
        <f>0.02*(SUM(K56:K80))</f>
        <v>0</v>
      </c>
      <c r="K84" s="36">
        <f>ROUND(J84*H84,2)</f>
        <v>0</v>
      </c>
    </row>
    <row r="85" spans="1:14" x14ac:dyDescent="0.25">
      <c r="A85" s="37"/>
      <c r="B85" s="37"/>
      <c r="C85" s="38"/>
      <c r="D85" s="38"/>
      <c r="E85" s="66" t="s">
        <v>72</v>
      </c>
      <c r="F85" s="137">
        <f>SUM(F21:F84)</f>
        <v>52046.580000000009</v>
      </c>
      <c r="H85" s="37"/>
      <c r="I85" s="37"/>
      <c r="J85" s="66" t="s">
        <v>72</v>
      </c>
      <c r="K85" s="40">
        <f>SUM(K21:K84)</f>
        <v>950.56</v>
      </c>
      <c r="L85" s="27"/>
    </row>
    <row r="86" spans="1:14" x14ac:dyDescent="0.25">
      <c r="A86" s="42"/>
      <c r="B86" s="42"/>
      <c r="C86" s="43"/>
      <c r="D86" s="43"/>
      <c r="E86" s="43"/>
      <c r="F86" s="43"/>
    </row>
    <row r="87" spans="1:14" ht="27.4" customHeight="1" x14ac:dyDescent="0.25">
      <c r="A87" s="223" t="s">
        <v>142</v>
      </c>
      <c r="B87" s="224"/>
      <c r="C87" s="224"/>
      <c r="D87" s="224"/>
      <c r="E87" s="224"/>
      <c r="F87" s="87">
        <f>F85</f>
        <v>52046.580000000009</v>
      </c>
      <c r="H87" s="223" t="s">
        <v>142</v>
      </c>
      <c r="I87" s="224"/>
      <c r="J87" s="224"/>
      <c r="K87" s="138">
        <f>K85</f>
        <v>950.56</v>
      </c>
    </row>
  </sheetData>
  <sheetProtection algorithmName="SHA-512" hashValue="Dq3d5NHfEpQHJYKcRcjIZfWFPCcYVfJiDaN03WGEUV5BDD5twsbiPyvFNfhf5yqT/+4P7eCgZBaQAADm1N3N8Q==" saltValue="tALnMupuufjVH1wEXlf5aA==" spinCount="100000" sheet="1" selectLockedCells="1"/>
  <mergeCells count="18">
    <mergeCell ref="D3:J6"/>
    <mergeCell ref="C10:D10"/>
    <mergeCell ref="J10:K10"/>
    <mergeCell ref="J16:K16"/>
    <mergeCell ref="A18:C18"/>
    <mergeCell ref="H18:J18"/>
    <mergeCell ref="A19:B19"/>
    <mergeCell ref="H19:I19"/>
    <mergeCell ref="A20:F20"/>
    <mergeCell ref="A51:F51"/>
    <mergeCell ref="H20:K20"/>
    <mergeCell ref="H51:K51"/>
    <mergeCell ref="A55:F55"/>
    <mergeCell ref="A81:F81"/>
    <mergeCell ref="H55:K55"/>
    <mergeCell ref="H81:K81"/>
    <mergeCell ref="A87:E87"/>
    <mergeCell ref="H87:J87"/>
  </mergeCells>
  <dataValidations count="2">
    <dataValidation allowBlank="1" showInputMessage="1" sqref="L82 L74 N81 H51 H81 N51 J52:J54 L52 J82" xr:uid="{113F6659-ED34-4C58-B107-B4021143C174}"/>
    <dataValidation type="whole" allowBlank="1" showInputMessage="1" showErrorMessage="1" error="Introducir Unidades" sqref="H19" xr:uid="{B7380DEB-2CAA-4C39-A431-ED56C2140F22}">
      <formula1>1</formula1>
      <formula2>1000</formula2>
    </dataValidation>
  </dataValidations>
  <pageMargins left="0.7" right="0.7" top="0.75" bottom="0.75" header="0.3" footer="0.3"/>
  <pageSetup paperSize="9" orientation="portrait" r:id="rId1"/>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25E0-4526-439C-9ADD-5454DB33A679}">
  <dimension ref="A3:M78"/>
  <sheetViews>
    <sheetView showGridLines="0" showRowColHeaders="0" topLeftCell="A4" zoomScale="85" zoomScaleNormal="85" workbookViewId="0">
      <selection activeCell="J24" sqref="J24"/>
    </sheetView>
  </sheetViews>
  <sheetFormatPr baseColWidth="10" defaultColWidth="11.5703125" defaultRowHeight="15" x14ac:dyDescent="0.25"/>
  <cols>
    <col min="1" max="1" width="6.5703125" customWidth="1"/>
    <col min="2" max="2" width="3" customWidth="1"/>
    <col min="3" max="3" width="59.140625" customWidth="1"/>
    <col min="4" max="4" width="23.85546875" customWidth="1"/>
    <col min="5" max="5" width="14.7109375" customWidth="1"/>
    <col min="6" max="6" width="14.7109375" bestFit="1" customWidth="1"/>
    <col min="8" max="8" width="6.5703125" customWidth="1"/>
    <col min="9" max="9" width="3" customWidth="1"/>
    <col min="10" max="10" width="59.140625" customWidth="1"/>
    <col min="11" max="11" width="23.85546875" customWidth="1"/>
    <col min="12" max="12" width="14.7109375" customWidth="1"/>
    <col min="13" max="13" width="14.85546875" customWidth="1"/>
  </cols>
  <sheetData>
    <row r="3" spans="3:12" ht="21" customHeight="1" x14ac:dyDescent="0.25">
      <c r="D3" s="225" t="s">
        <v>424</v>
      </c>
      <c r="E3" s="226"/>
      <c r="F3" s="226"/>
      <c r="G3" s="226"/>
      <c r="H3" s="226"/>
      <c r="I3" s="226"/>
      <c r="J3" s="226"/>
      <c r="K3" s="13"/>
      <c r="L3" s="13"/>
    </row>
    <row r="4" spans="3:12" ht="13.5" customHeight="1" x14ac:dyDescent="0.25">
      <c r="D4" s="225"/>
      <c r="E4" s="226"/>
      <c r="F4" s="226"/>
      <c r="G4" s="226"/>
      <c r="H4" s="226"/>
      <c r="I4" s="226"/>
      <c r="J4" s="226"/>
      <c r="K4" s="13"/>
      <c r="L4" s="13"/>
    </row>
    <row r="5" spans="3:12" ht="13.5" customHeight="1" x14ac:dyDescent="0.25">
      <c r="D5" s="225"/>
      <c r="E5" s="226"/>
      <c r="F5" s="226"/>
      <c r="G5" s="226"/>
      <c r="H5" s="226"/>
      <c r="I5" s="226"/>
      <c r="J5" s="226"/>
      <c r="K5" s="13"/>
      <c r="L5" s="13"/>
    </row>
    <row r="6" spans="3:12" ht="11.25" customHeight="1" x14ac:dyDescent="0.25">
      <c r="D6" s="225"/>
      <c r="E6" s="226"/>
      <c r="F6" s="226"/>
      <c r="G6" s="226"/>
      <c r="H6" s="226"/>
      <c r="I6" s="226"/>
      <c r="J6" s="226"/>
      <c r="K6" s="13"/>
      <c r="L6" s="13"/>
    </row>
    <row r="7" spans="3:12" ht="12.75" customHeight="1" x14ac:dyDescent="0.25">
      <c r="K7" s="13"/>
      <c r="L7" s="13"/>
    </row>
    <row r="10" spans="3:12" ht="21" x14ac:dyDescent="0.25">
      <c r="C10" s="227" t="s">
        <v>52</v>
      </c>
      <c r="D10" s="228"/>
      <c r="J10" s="227" t="s">
        <v>53</v>
      </c>
      <c r="K10" s="229"/>
    </row>
    <row r="12" spans="3:12" x14ac:dyDescent="0.25">
      <c r="C12" s="14" t="s">
        <v>54</v>
      </c>
      <c r="D12" s="14" t="s">
        <v>55</v>
      </c>
      <c r="J12" s="14" t="s">
        <v>54</v>
      </c>
      <c r="K12" s="14" t="s">
        <v>55</v>
      </c>
    </row>
    <row r="13" spans="3:12" x14ac:dyDescent="0.25">
      <c r="C13" s="15" t="str">
        <f>A21</f>
        <v>1.- Videovigilancia</v>
      </c>
      <c r="D13" s="1">
        <f>ROUND(F47,2)</f>
        <v>280953.95</v>
      </c>
      <c r="J13" s="15" t="str">
        <f>C13</f>
        <v>1.- Videovigilancia</v>
      </c>
      <c r="K13" s="1">
        <f>ROUND(K47,2)</f>
        <v>6660.64</v>
      </c>
      <c r="L13" s="2"/>
    </row>
    <row r="14" spans="3:12" x14ac:dyDescent="0.25">
      <c r="C14" s="15" t="str">
        <f>A49</f>
        <v>2.- Lidar</v>
      </c>
      <c r="D14" s="3">
        <f>ROUND(F59,2)</f>
        <v>16441.48</v>
      </c>
      <c r="J14" s="15" t="str">
        <f t="shared" ref="J14:J16" si="0">C14</f>
        <v>2.- Lidar</v>
      </c>
      <c r="K14" s="1">
        <f>ROUND(K59,2)</f>
        <v>1470.68</v>
      </c>
      <c r="L14" s="4"/>
    </row>
    <row r="15" spans="3:12" x14ac:dyDescent="0.25">
      <c r="C15" s="15" t="str">
        <f>A61</f>
        <v>3.- Configuración de analítica de vídeo</v>
      </c>
      <c r="D15" s="3">
        <f>ROUND(F64,2)</f>
        <v>2700</v>
      </c>
      <c r="J15" s="15" t="str">
        <f t="shared" si="0"/>
        <v>3.- Configuración de analítica de vídeo</v>
      </c>
      <c r="K15" s="1">
        <f>ROUND(K64,2)</f>
        <v>2700</v>
      </c>
      <c r="L15" s="7"/>
    </row>
    <row r="16" spans="3:12" x14ac:dyDescent="0.25">
      <c r="C16" s="15" t="str">
        <f>A66</f>
        <v>4.- Electrónica de Red</v>
      </c>
      <c r="D16" s="3">
        <f>ROUND(F76,2)</f>
        <v>40655.839999999997</v>
      </c>
      <c r="J16" s="15" t="str">
        <f t="shared" si="0"/>
        <v>4.- Electrónica de Red</v>
      </c>
      <c r="K16" s="1">
        <f>ROUND(K76,2)</f>
        <v>1509.84</v>
      </c>
      <c r="L16" s="2"/>
    </row>
    <row r="17" spans="1:12" ht="15.75" x14ac:dyDescent="0.25">
      <c r="C17" s="16" t="s">
        <v>56</v>
      </c>
      <c r="D17" s="17">
        <f>SUM(D13:D16)</f>
        <v>340751.27</v>
      </c>
      <c r="J17" s="16" t="s">
        <v>56</v>
      </c>
      <c r="K17" s="17">
        <f>SUM(K13:K16)</f>
        <v>12341.16</v>
      </c>
      <c r="L17" s="18"/>
    </row>
    <row r="19" spans="1:12" x14ac:dyDescent="0.25">
      <c r="J19" s="230" t="s">
        <v>57</v>
      </c>
      <c r="K19" s="230"/>
    </row>
    <row r="21" spans="1:12" x14ac:dyDescent="0.25">
      <c r="A21" s="219" t="s">
        <v>232</v>
      </c>
      <c r="B21" s="220"/>
      <c r="C21" s="221"/>
      <c r="H21" s="219" t="str">
        <f>A21</f>
        <v>1.- Videovigilancia</v>
      </c>
      <c r="I21" s="220"/>
      <c r="J21" s="221"/>
    </row>
    <row r="22" spans="1:12" ht="25.5" x14ac:dyDescent="0.25">
      <c r="A22" s="222" t="s">
        <v>59</v>
      </c>
      <c r="B22" s="222"/>
      <c r="C22" s="19" t="s">
        <v>60</v>
      </c>
      <c r="D22" s="19" t="s">
        <v>61</v>
      </c>
      <c r="E22" s="20" t="s">
        <v>62</v>
      </c>
      <c r="F22" s="14" t="s">
        <v>63</v>
      </c>
      <c r="H22" s="222" t="s">
        <v>59</v>
      </c>
      <c r="I22" s="222"/>
      <c r="J22" s="19" t="str">
        <f>E22</f>
        <v>P/U</v>
      </c>
      <c r="K22" s="19" t="str">
        <f>F22</f>
        <v>TOTAL</v>
      </c>
    </row>
    <row r="23" spans="1:12" x14ac:dyDescent="0.25">
      <c r="A23" s="218" t="s">
        <v>49</v>
      </c>
      <c r="B23" s="218"/>
      <c r="C23" s="218"/>
      <c r="D23" s="218"/>
      <c r="E23" s="218"/>
      <c r="F23" s="218"/>
      <c r="H23" s="218" t="str">
        <f>A23</f>
        <v>PERIMETRAL</v>
      </c>
      <c r="I23" s="218"/>
      <c r="J23" s="218"/>
      <c r="K23" s="218"/>
    </row>
    <row r="24" spans="1:12" s="27" customFormat="1" ht="191.25" x14ac:dyDescent="0.25">
      <c r="A24" s="21">
        <v>101</v>
      </c>
      <c r="B24" s="22" t="s">
        <v>33</v>
      </c>
      <c r="C24" s="31" t="s">
        <v>241</v>
      </c>
      <c r="D24" s="31" t="s">
        <v>242</v>
      </c>
      <c r="E24" s="25">
        <v>977</v>
      </c>
      <c r="F24" s="26">
        <f>ROUND(A24*E24,2)</f>
        <v>98677</v>
      </c>
      <c r="G24"/>
      <c r="H24" s="21">
        <f>A24</f>
        <v>101</v>
      </c>
      <c r="I24" s="22" t="str">
        <f>B24</f>
        <v>ud</v>
      </c>
      <c r="J24" s="9"/>
      <c r="K24" s="136">
        <f t="shared" ref="K24:K40" si="1">ROUND(J24*H24,2)</f>
        <v>0</v>
      </c>
    </row>
    <row r="25" spans="1:12" ht="63.75" x14ac:dyDescent="0.25">
      <c r="A25" s="59">
        <v>92</v>
      </c>
      <c r="B25" s="82" t="s">
        <v>33</v>
      </c>
      <c r="C25" s="109" t="s">
        <v>480</v>
      </c>
      <c r="D25" s="109" t="s">
        <v>243</v>
      </c>
      <c r="E25" s="110">
        <v>101</v>
      </c>
      <c r="F25" s="26">
        <f t="shared" ref="F25:F42" si="2">ROUND(A25*E25,2)</f>
        <v>9292</v>
      </c>
      <c r="H25" s="21">
        <f t="shared" ref="H25:H42" si="3">A25</f>
        <v>92</v>
      </c>
      <c r="I25" s="22" t="str">
        <f t="shared" ref="I25:I42" si="4">B25</f>
        <v>ud</v>
      </c>
      <c r="J25" s="124"/>
      <c r="K25" s="136">
        <f t="shared" si="1"/>
        <v>0</v>
      </c>
    </row>
    <row r="26" spans="1:12" ht="25.5" x14ac:dyDescent="0.25">
      <c r="A26" s="193">
        <v>15</v>
      </c>
      <c r="B26" s="194" t="s">
        <v>33</v>
      </c>
      <c r="C26" s="195" t="s">
        <v>467</v>
      </c>
      <c r="D26" s="195" t="s">
        <v>468</v>
      </c>
      <c r="E26" s="196">
        <v>39</v>
      </c>
      <c r="F26" s="26">
        <f t="shared" si="2"/>
        <v>585</v>
      </c>
      <c r="H26" s="21">
        <f t="shared" si="3"/>
        <v>15</v>
      </c>
      <c r="I26" s="22" t="str">
        <f t="shared" si="4"/>
        <v>ud</v>
      </c>
      <c r="J26" s="197"/>
      <c r="K26" s="136">
        <f t="shared" si="1"/>
        <v>0</v>
      </c>
    </row>
    <row r="27" spans="1:12" s="27" customFormat="1" ht="63.75" x14ac:dyDescent="0.25">
      <c r="A27" s="21">
        <v>2</v>
      </c>
      <c r="B27" s="22" t="s">
        <v>33</v>
      </c>
      <c r="C27" s="31" t="s">
        <v>473</v>
      </c>
      <c r="D27" s="31" t="s">
        <v>472</v>
      </c>
      <c r="E27" s="25">
        <v>1099</v>
      </c>
      <c r="F27" s="26">
        <f t="shared" si="2"/>
        <v>2198</v>
      </c>
      <c r="G27"/>
      <c r="H27" s="21">
        <f t="shared" si="3"/>
        <v>2</v>
      </c>
      <c r="I27" s="22" t="str">
        <f t="shared" si="4"/>
        <v>ud</v>
      </c>
      <c r="J27" s="9"/>
      <c r="K27" s="136">
        <f t="shared" si="1"/>
        <v>0</v>
      </c>
    </row>
    <row r="28" spans="1:12" s="27" customFormat="1" ht="51" x14ac:dyDescent="0.25">
      <c r="A28" s="21">
        <v>2</v>
      </c>
      <c r="B28" s="22" t="s">
        <v>33</v>
      </c>
      <c r="C28" s="31" t="s">
        <v>476</v>
      </c>
      <c r="D28" s="31" t="s">
        <v>474</v>
      </c>
      <c r="E28" s="25">
        <v>69</v>
      </c>
      <c r="F28" s="26">
        <f t="shared" si="2"/>
        <v>138</v>
      </c>
      <c r="G28"/>
      <c r="H28" s="21">
        <f t="shared" si="3"/>
        <v>2</v>
      </c>
      <c r="I28" s="22" t="str">
        <f t="shared" si="4"/>
        <v>ud</v>
      </c>
      <c r="J28" s="9"/>
      <c r="K28" s="136">
        <f t="shared" si="1"/>
        <v>0</v>
      </c>
    </row>
    <row r="29" spans="1:12" s="27" customFormat="1" ht="63.75" x14ac:dyDescent="0.25">
      <c r="A29" s="21">
        <v>2</v>
      </c>
      <c r="B29" s="22" t="s">
        <v>33</v>
      </c>
      <c r="C29" s="31" t="s">
        <v>477</v>
      </c>
      <c r="D29" s="31" t="s">
        <v>475</v>
      </c>
      <c r="E29" s="25">
        <v>109</v>
      </c>
      <c r="F29" s="26">
        <f t="shared" si="2"/>
        <v>218</v>
      </c>
      <c r="G29"/>
      <c r="H29" s="21">
        <f t="shared" si="3"/>
        <v>2</v>
      </c>
      <c r="I29" s="22" t="str">
        <f t="shared" si="4"/>
        <v>ud</v>
      </c>
      <c r="J29" s="9"/>
      <c r="K29" s="136">
        <f t="shared" si="1"/>
        <v>0</v>
      </c>
    </row>
    <row r="30" spans="1:12" s="27" customFormat="1" ht="51" x14ac:dyDescent="0.25">
      <c r="A30" s="21">
        <v>27</v>
      </c>
      <c r="B30" s="22" t="s">
        <v>33</v>
      </c>
      <c r="C30" s="31" t="s">
        <v>249</v>
      </c>
      <c r="D30" s="31" t="s">
        <v>250</v>
      </c>
      <c r="E30" s="25">
        <v>3089</v>
      </c>
      <c r="F30" s="26">
        <f t="shared" si="2"/>
        <v>83403</v>
      </c>
      <c r="G30"/>
      <c r="H30" s="21">
        <f t="shared" si="3"/>
        <v>27</v>
      </c>
      <c r="I30" s="22" t="str">
        <f t="shared" si="4"/>
        <v>ud</v>
      </c>
      <c r="J30" s="9"/>
      <c r="K30" s="136">
        <f t="shared" si="1"/>
        <v>0</v>
      </c>
    </row>
    <row r="31" spans="1:12" ht="63.75" x14ac:dyDescent="0.25">
      <c r="A31" s="21">
        <v>27</v>
      </c>
      <c r="B31" s="22" t="s">
        <v>33</v>
      </c>
      <c r="C31" s="31" t="s">
        <v>480</v>
      </c>
      <c r="D31" s="31" t="s">
        <v>243</v>
      </c>
      <c r="E31" s="25">
        <v>92</v>
      </c>
      <c r="F31" s="26">
        <f t="shared" si="2"/>
        <v>2484</v>
      </c>
      <c r="H31" s="21">
        <f t="shared" si="3"/>
        <v>27</v>
      </c>
      <c r="I31" s="22" t="str">
        <f t="shared" si="4"/>
        <v>ud</v>
      </c>
      <c r="J31" s="9"/>
      <c r="K31" s="136">
        <f t="shared" si="1"/>
        <v>0</v>
      </c>
    </row>
    <row r="32" spans="1:12" ht="127.5" x14ac:dyDescent="0.25">
      <c r="A32" s="21">
        <v>11</v>
      </c>
      <c r="B32" s="22" t="s">
        <v>33</v>
      </c>
      <c r="C32" s="31" t="s">
        <v>233</v>
      </c>
      <c r="D32" s="31" t="s">
        <v>234</v>
      </c>
      <c r="E32" s="25">
        <v>2728</v>
      </c>
      <c r="F32" s="26">
        <f t="shared" si="2"/>
        <v>30008</v>
      </c>
      <c r="H32" s="21">
        <f t="shared" si="3"/>
        <v>11</v>
      </c>
      <c r="I32" s="22" t="str">
        <f t="shared" si="4"/>
        <v>ud</v>
      </c>
      <c r="J32" s="9"/>
      <c r="K32" s="136">
        <f t="shared" si="1"/>
        <v>0</v>
      </c>
    </row>
    <row r="33" spans="1:11" s="27" customFormat="1" ht="12.75" x14ac:dyDescent="0.2">
      <c r="A33" s="21">
        <v>11</v>
      </c>
      <c r="B33" s="22" t="s">
        <v>33</v>
      </c>
      <c r="C33" s="31" t="s">
        <v>235</v>
      </c>
      <c r="D33" s="31" t="s">
        <v>236</v>
      </c>
      <c r="E33" s="25">
        <v>133</v>
      </c>
      <c r="F33" s="26">
        <f t="shared" si="2"/>
        <v>1463</v>
      </c>
      <c r="G33" s="53"/>
      <c r="H33" s="21">
        <f t="shared" si="3"/>
        <v>11</v>
      </c>
      <c r="I33" s="22" t="str">
        <f t="shared" si="4"/>
        <v>ud</v>
      </c>
      <c r="J33" s="9"/>
      <c r="K33" s="136">
        <f t="shared" si="1"/>
        <v>0</v>
      </c>
    </row>
    <row r="34" spans="1:11" s="27" customFormat="1" ht="12.75" x14ac:dyDescent="0.2">
      <c r="A34" s="21">
        <v>11</v>
      </c>
      <c r="B34" s="22" t="s">
        <v>33</v>
      </c>
      <c r="C34" s="31" t="s">
        <v>237</v>
      </c>
      <c r="D34" s="31" t="s">
        <v>238</v>
      </c>
      <c r="E34" s="25">
        <v>133</v>
      </c>
      <c r="F34" s="26">
        <f t="shared" si="2"/>
        <v>1463</v>
      </c>
      <c r="G34" s="53"/>
      <c r="H34" s="21">
        <f t="shared" si="3"/>
        <v>11</v>
      </c>
      <c r="I34" s="22" t="str">
        <f t="shared" si="4"/>
        <v>ud</v>
      </c>
      <c r="J34" s="9"/>
      <c r="K34" s="136">
        <f t="shared" si="1"/>
        <v>0</v>
      </c>
    </row>
    <row r="35" spans="1:11" s="27" customFormat="1" ht="12.75" x14ac:dyDescent="0.2">
      <c r="A35" s="21">
        <v>11</v>
      </c>
      <c r="B35" s="22" t="s">
        <v>33</v>
      </c>
      <c r="C35" s="31" t="s">
        <v>239</v>
      </c>
      <c r="D35" s="31" t="s">
        <v>240</v>
      </c>
      <c r="E35" s="25">
        <v>164</v>
      </c>
      <c r="F35" s="26">
        <f t="shared" si="2"/>
        <v>1804</v>
      </c>
      <c r="G35" s="53"/>
      <c r="H35" s="21">
        <f t="shared" si="3"/>
        <v>11</v>
      </c>
      <c r="I35" s="22" t="str">
        <f t="shared" si="4"/>
        <v>ud</v>
      </c>
      <c r="J35" s="9"/>
      <c r="K35" s="136">
        <f t="shared" si="1"/>
        <v>0</v>
      </c>
    </row>
    <row r="36" spans="1:11" s="27" customFormat="1" ht="140.25" x14ac:dyDescent="0.25">
      <c r="A36" s="21">
        <v>19</v>
      </c>
      <c r="B36" s="22" t="s">
        <v>33</v>
      </c>
      <c r="C36" s="31" t="s">
        <v>244</v>
      </c>
      <c r="D36" s="31" t="s">
        <v>245</v>
      </c>
      <c r="E36" s="25">
        <v>1226</v>
      </c>
      <c r="F36" s="26">
        <f t="shared" si="2"/>
        <v>23294</v>
      </c>
      <c r="G36"/>
      <c r="H36" s="21">
        <f t="shared" si="3"/>
        <v>19</v>
      </c>
      <c r="I36" s="22" t="str">
        <f t="shared" si="4"/>
        <v>ud</v>
      </c>
      <c r="J36" s="9"/>
      <c r="K36" s="136">
        <f t="shared" si="1"/>
        <v>0</v>
      </c>
    </row>
    <row r="37" spans="1:11" s="27" customFormat="1" x14ac:dyDescent="0.25">
      <c r="A37" s="21">
        <v>19</v>
      </c>
      <c r="B37" s="22" t="s">
        <v>33</v>
      </c>
      <c r="C37" s="31" t="s">
        <v>246</v>
      </c>
      <c r="D37" s="31" t="s">
        <v>247</v>
      </c>
      <c r="E37" s="25">
        <v>31.75</v>
      </c>
      <c r="F37" s="26">
        <f t="shared" si="2"/>
        <v>603.25</v>
      </c>
      <c r="G37"/>
      <c r="H37" s="21">
        <f t="shared" si="3"/>
        <v>19</v>
      </c>
      <c r="I37" s="22" t="str">
        <f t="shared" si="4"/>
        <v>ud</v>
      </c>
      <c r="J37" s="9"/>
      <c r="K37" s="136">
        <f t="shared" si="1"/>
        <v>0</v>
      </c>
    </row>
    <row r="38" spans="1:11" s="27" customFormat="1" x14ac:dyDescent="0.25">
      <c r="A38" s="21">
        <v>19</v>
      </c>
      <c r="B38" s="22" t="s">
        <v>33</v>
      </c>
      <c r="C38" s="31" t="s">
        <v>469</v>
      </c>
      <c r="D38" s="31" t="s">
        <v>248</v>
      </c>
      <c r="E38" s="25">
        <v>44.44</v>
      </c>
      <c r="F38" s="26">
        <f t="shared" si="2"/>
        <v>844.36</v>
      </c>
      <c r="G38"/>
      <c r="H38" s="21">
        <f t="shared" si="3"/>
        <v>19</v>
      </c>
      <c r="I38" s="22" t="str">
        <f t="shared" si="4"/>
        <v>ud</v>
      </c>
      <c r="J38" s="9"/>
      <c r="K38" s="136">
        <f t="shared" si="1"/>
        <v>0</v>
      </c>
    </row>
    <row r="39" spans="1:11" s="27" customFormat="1" ht="63.75" x14ac:dyDescent="0.25">
      <c r="A39" s="21">
        <v>2</v>
      </c>
      <c r="B39" s="22" t="s">
        <v>33</v>
      </c>
      <c r="C39" s="31" t="s">
        <v>471</v>
      </c>
      <c r="D39" s="31" t="s">
        <v>470</v>
      </c>
      <c r="E39" s="25">
        <v>1499</v>
      </c>
      <c r="F39" s="26">
        <f t="shared" si="2"/>
        <v>2998</v>
      </c>
      <c r="G39"/>
      <c r="H39" s="21">
        <f t="shared" si="3"/>
        <v>2</v>
      </c>
      <c r="I39" s="22" t="str">
        <f t="shared" si="4"/>
        <v>ud</v>
      </c>
      <c r="J39" s="9"/>
      <c r="K39" s="136">
        <f t="shared" si="1"/>
        <v>0</v>
      </c>
    </row>
    <row r="40" spans="1:11" ht="63.75" x14ac:dyDescent="0.25">
      <c r="A40" s="21">
        <v>2</v>
      </c>
      <c r="B40" s="22" t="s">
        <v>33</v>
      </c>
      <c r="C40" s="31" t="s">
        <v>480</v>
      </c>
      <c r="D40" s="31" t="s">
        <v>243</v>
      </c>
      <c r="E40" s="25">
        <v>92</v>
      </c>
      <c r="F40" s="26">
        <f t="shared" si="2"/>
        <v>184</v>
      </c>
      <c r="H40" s="21">
        <f t="shared" si="3"/>
        <v>2</v>
      </c>
      <c r="I40" s="22" t="str">
        <f t="shared" si="4"/>
        <v>ud</v>
      </c>
      <c r="J40" s="9"/>
      <c r="K40" s="136">
        <f t="shared" si="1"/>
        <v>0</v>
      </c>
    </row>
    <row r="41" spans="1:11" ht="114.75" x14ac:dyDescent="0.25">
      <c r="A41" s="21">
        <v>324</v>
      </c>
      <c r="B41" s="22" t="s">
        <v>33</v>
      </c>
      <c r="C41" s="31" t="s">
        <v>591</v>
      </c>
      <c r="D41" s="31" t="s">
        <v>592</v>
      </c>
      <c r="E41" s="25">
        <v>9.1</v>
      </c>
      <c r="F41" s="26">
        <f t="shared" ref="F41" si="5">ROUND(A41*E41,2)</f>
        <v>2948.4</v>
      </c>
      <c r="H41" s="21">
        <f t="shared" ref="H41" si="6">A41</f>
        <v>324</v>
      </c>
      <c r="I41" s="22" t="str">
        <f t="shared" ref="I41" si="7">B41</f>
        <v>ud</v>
      </c>
      <c r="J41" s="9"/>
      <c r="K41" s="136">
        <f>ROUND(J41*H41,2)</f>
        <v>0</v>
      </c>
    </row>
    <row r="42" spans="1:11" ht="51" x14ac:dyDescent="0.25">
      <c r="A42" s="21">
        <v>162</v>
      </c>
      <c r="B42" s="22" t="s">
        <v>33</v>
      </c>
      <c r="C42" s="31" t="s">
        <v>158</v>
      </c>
      <c r="D42" s="31" t="s">
        <v>159</v>
      </c>
      <c r="E42" s="25">
        <v>6.15</v>
      </c>
      <c r="F42" s="26">
        <f t="shared" si="2"/>
        <v>996.3</v>
      </c>
      <c r="H42" s="21">
        <f t="shared" si="3"/>
        <v>162</v>
      </c>
      <c r="I42" s="22" t="str">
        <f t="shared" si="4"/>
        <v>ud</v>
      </c>
      <c r="J42" s="12"/>
      <c r="K42" s="136">
        <f>ROUND(J42*H42,2)</f>
        <v>0</v>
      </c>
    </row>
    <row r="43" spans="1:11" x14ac:dyDescent="0.25">
      <c r="A43" s="218" t="s">
        <v>251</v>
      </c>
      <c r="B43" s="218"/>
      <c r="C43" s="218"/>
      <c r="D43" s="218"/>
      <c r="E43" s="218"/>
      <c r="F43" s="218"/>
      <c r="H43" s="218" t="str">
        <f>A43</f>
        <v xml:space="preserve">Partida de montaje de equipos de videovigilancia perimetral </v>
      </c>
      <c r="I43" s="218"/>
      <c r="J43" s="218"/>
      <c r="K43" s="218"/>
    </row>
    <row r="44" spans="1:11" s="27" customFormat="1" ht="12.75" x14ac:dyDescent="0.2">
      <c r="A44" s="28">
        <v>162</v>
      </c>
      <c r="B44" s="29" t="s">
        <v>33</v>
      </c>
      <c r="C44" s="118" t="s">
        <v>252</v>
      </c>
      <c r="D44" s="118" t="s">
        <v>253</v>
      </c>
      <c r="E44" s="48">
        <f>0.33*2*100</f>
        <v>66</v>
      </c>
      <c r="F44" s="30">
        <f>ROUND(A44*E44,2)</f>
        <v>10692</v>
      </c>
      <c r="H44" s="21">
        <f>A44</f>
        <v>162</v>
      </c>
      <c r="I44" s="22" t="str">
        <f t="shared" ref="I44" si="8">B44</f>
        <v>ud</v>
      </c>
      <c r="J44" s="139"/>
      <c r="K44" s="61">
        <f t="shared" ref="K44:K45" si="9">ROUND(J44*H44,2)</f>
        <v>0</v>
      </c>
    </row>
    <row r="45" spans="1:11" s="27" customFormat="1" ht="25.5" x14ac:dyDescent="0.2">
      <c r="A45" s="21">
        <v>1</v>
      </c>
      <c r="B45" s="22" t="s">
        <v>33</v>
      </c>
      <c r="C45" s="31" t="s">
        <v>228</v>
      </c>
      <c r="D45" s="31" t="s">
        <v>97</v>
      </c>
      <c r="E45" s="25">
        <f>0.05*(SUM(F32:F42))</f>
        <v>3330.3155000000002</v>
      </c>
      <c r="F45" s="26">
        <f t="shared" ref="F45:F46" si="10">ROUND(A45*E45,2)</f>
        <v>3330.32</v>
      </c>
      <c r="H45" s="21">
        <f t="shared" ref="H45:H46" si="11">A45</f>
        <v>1</v>
      </c>
      <c r="I45" s="22" t="str">
        <f t="shared" ref="I45:I46" si="12">B45</f>
        <v>ud</v>
      </c>
      <c r="J45" s="119">
        <f>E45</f>
        <v>3330.3155000000002</v>
      </c>
      <c r="K45" s="136">
        <f t="shared" si="9"/>
        <v>3330.32</v>
      </c>
    </row>
    <row r="46" spans="1:11" s="27" customFormat="1" ht="25.5" x14ac:dyDescent="0.2">
      <c r="A46" s="32">
        <v>1</v>
      </c>
      <c r="B46" s="33" t="s">
        <v>33</v>
      </c>
      <c r="C46" s="34" t="s">
        <v>98</v>
      </c>
      <c r="D46" s="34" t="s">
        <v>99</v>
      </c>
      <c r="E46" s="35">
        <f>0.05*(SUM(F32:F42))</f>
        <v>3330.3155000000002</v>
      </c>
      <c r="F46" s="36">
        <f t="shared" si="10"/>
        <v>3330.32</v>
      </c>
      <c r="H46" s="67">
        <f t="shared" si="11"/>
        <v>1</v>
      </c>
      <c r="I46" s="68" t="str">
        <f t="shared" si="12"/>
        <v>ud</v>
      </c>
      <c r="J46" s="119">
        <f>E46</f>
        <v>3330.3155000000002</v>
      </c>
      <c r="K46" s="136">
        <f>ROUND(J46*H46,2)</f>
        <v>3330.32</v>
      </c>
    </row>
    <row r="47" spans="1:11" x14ac:dyDescent="0.25">
      <c r="A47" s="37"/>
      <c r="B47" s="37"/>
      <c r="C47" s="38"/>
      <c r="D47" s="38"/>
      <c r="E47" s="39" t="s">
        <v>72</v>
      </c>
      <c r="F47" s="40">
        <f>SUM(F24:F46)</f>
        <v>280953.95</v>
      </c>
      <c r="H47" s="37"/>
      <c r="I47" s="37"/>
      <c r="J47" s="66" t="s">
        <v>72</v>
      </c>
      <c r="K47" s="40">
        <f>SUM(K24:K46)</f>
        <v>6660.64</v>
      </c>
    </row>
    <row r="48" spans="1:11" x14ac:dyDescent="0.25">
      <c r="A48" s="42"/>
      <c r="B48" s="42"/>
      <c r="C48" s="43"/>
      <c r="D48" s="43"/>
      <c r="E48" s="43"/>
      <c r="F48" s="43"/>
    </row>
    <row r="49" spans="1:13" x14ac:dyDescent="0.25">
      <c r="A49" s="219" t="s">
        <v>254</v>
      </c>
      <c r="B49" s="220"/>
      <c r="C49" s="221"/>
      <c r="D49" s="44"/>
      <c r="E49" s="44"/>
      <c r="F49" s="45"/>
      <c r="H49" s="219" t="str">
        <f>A49</f>
        <v>2.- Lidar</v>
      </c>
      <c r="I49" s="220"/>
      <c r="J49" s="221"/>
      <c r="K49" s="44"/>
      <c r="L49" s="44"/>
      <c r="M49" s="44"/>
    </row>
    <row r="50" spans="1:13" ht="25.5" x14ac:dyDescent="0.25">
      <c r="A50" s="257" t="s">
        <v>59</v>
      </c>
      <c r="B50" s="258"/>
      <c r="C50" s="19" t="s">
        <v>60</v>
      </c>
      <c r="D50" s="19" t="s">
        <v>61</v>
      </c>
      <c r="E50" s="20" t="s">
        <v>62</v>
      </c>
      <c r="F50" s="14" t="s">
        <v>63</v>
      </c>
      <c r="H50" s="257" t="s">
        <v>59</v>
      </c>
      <c r="I50" s="258"/>
      <c r="J50" s="19" t="str">
        <f>E50</f>
        <v>P/U</v>
      </c>
      <c r="K50" s="20" t="s">
        <v>55</v>
      </c>
    </row>
    <row r="51" spans="1:13" s="27" customFormat="1" ht="12.75" x14ac:dyDescent="0.2">
      <c r="A51" s="28">
        <v>4</v>
      </c>
      <c r="B51" s="29" t="s">
        <v>33</v>
      </c>
      <c r="C51" s="118" t="s">
        <v>255</v>
      </c>
      <c r="D51" s="118" t="s">
        <v>256</v>
      </c>
      <c r="E51" s="48">
        <v>3399</v>
      </c>
      <c r="F51" s="30">
        <f>ROUND(A51*E51,2)</f>
        <v>13596</v>
      </c>
      <c r="G51" s="49"/>
      <c r="H51" s="28">
        <f t="shared" ref="H51:I54" si="13">A51</f>
        <v>4</v>
      </c>
      <c r="I51" s="29" t="str">
        <f t="shared" si="13"/>
        <v>ud</v>
      </c>
      <c r="J51" s="10"/>
      <c r="K51" s="136">
        <f t="shared" ref="K51:K52" si="14">ROUND(J51*H51,2)</f>
        <v>0</v>
      </c>
    </row>
    <row r="52" spans="1:13" s="27" customFormat="1" ht="12.75" x14ac:dyDescent="0.2">
      <c r="A52" s="21">
        <v>4</v>
      </c>
      <c r="B52" s="22" t="s">
        <v>33</v>
      </c>
      <c r="C52" s="31" t="s">
        <v>257</v>
      </c>
      <c r="D52" s="31" t="s">
        <v>258</v>
      </c>
      <c r="E52" s="25">
        <v>231</v>
      </c>
      <c r="F52" s="26">
        <f t="shared" ref="F52:F54" si="15">ROUND(A52*E52,2)</f>
        <v>924</v>
      </c>
      <c r="G52" s="49"/>
      <c r="H52" s="21">
        <f t="shared" si="13"/>
        <v>4</v>
      </c>
      <c r="I52" s="22" t="str">
        <f t="shared" si="13"/>
        <v>ud</v>
      </c>
      <c r="J52" s="9"/>
      <c r="K52" s="136">
        <f t="shared" si="14"/>
        <v>0</v>
      </c>
    </row>
    <row r="53" spans="1:13" s="27" customFormat="1" ht="12.75" x14ac:dyDescent="0.2">
      <c r="A53" s="21">
        <v>1</v>
      </c>
      <c r="B53" s="22" t="s">
        <v>33</v>
      </c>
      <c r="C53" s="31" t="s">
        <v>259</v>
      </c>
      <c r="D53" s="31" t="s">
        <v>260</v>
      </c>
      <c r="E53" s="25">
        <v>114</v>
      </c>
      <c r="F53" s="26">
        <f t="shared" ref="F53" si="16">ROUND(A53*E53,2)</f>
        <v>114</v>
      </c>
      <c r="G53" s="49"/>
      <c r="H53" s="21">
        <f t="shared" ref="H53" si="17">A53</f>
        <v>1</v>
      </c>
      <c r="I53" s="22" t="str">
        <f t="shared" ref="I53" si="18">B53</f>
        <v>ud</v>
      </c>
      <c r="J53" s="9"/>
      <c r="K53" s="136">
        <f>ROUND(J53*H53,2)</f>
        <v>0</v>
      </c>
    </row>
    <row r="54" spans="1:13" ht="114.75" x14ac:dyDescent="0.25">
      <c r="A54" s="21">
        <v>8</v>
      </c>
      <c r="B54" s="22" t="s">
        <v>33</v>
      </c>
      <c r="C54" s="31" t="s">
        <v>591</v>
      </c>
      <c r="D54" s="31" t="s">
        <v>592</v>
      </c>
      <c r="E54" s="25">
        <v>9.1</v>
      </c>
      <c r="F54" s="26">
        <f t="shared" si="15"/>
        <v>72.8</v>
      </c>
      <c r="H54" s="21">
        <f t="shared" si="13"/>
        <v>8</v>
      </c>
      <c r="I54" s="22" t="str">
        <f t="shared" si="13"/>
        <v>ud</v>
      </c>
      <c r="J54" s="12"/>
      <c r="K54" s="136">
        <f>ROUND(J54*H54,2)</f>
        <v>0</v>
      </c>
    </row>
    <row r="55" spans="1:13" x14ac:dyDescent="0.25">
      <c r="A55" s="215" t="s">
        <v>261</v>
      </c>
      <c r="B55" s="216"/>
      <c r="C55" s="216"/>
      <c r="D55" s="216"/>
      <c r="E55" s="216"/>
      <c r="F55" s="217"/>
      <c r="H55" s="215" t="str">
        <f>A55</f>
        <v>Partida de montaje de equipos lidar</v>
      </c>
      <c r="I55" s="216"/>
      <c r="J55" s="216"/>
      <c r="K55" s="217"/>
      <c r="L55" s="27"/>
      <c r="M55" s="27"/>
    </row>
    <row r="56" spans="1:13" s="27" customFormat="1" ht="12.75" x14ac:dyDescent="0.2">
      <c r="A56" s="21">
        <v>4</v>
      </c>
      <c r="B56" s="22" t="s">
        <v>33</v>
      </c>
      <c r="C56" s="31" t="s">
        <v>262</v>
      </c>
      <c r="D56" s="31" t="s">
        <v>253</v>
      </c>
      <c r="E56" s="25">
        <f>0.33*2*100</f>
        <v>66</v>
      </c>
      <c r="F56" s="26">
        <f>ROUND(A56*E56,2)</f>
        <v>264</v>
      </c>
      <c r="H56" s="21">
        <f>A56</f>
        <v>4</v>
      </c>
      <c r="I56" s="22" t="str">
        <f>B56</f>
        <v>ud</v>
      </c>
      <c r="J56" s="9"/>
      <c r="K56" s="26">
        <f t="shared" ref="K56:K57" si="19">ROUND(J56*H56,2)</f>
        <v>0</v>
      </c>
    </row>
    <row r="57" spans="1:13" s="27" customFormat="1" ht="25.5" x14ac:dyDescent="0.2">
      <c r="A57" s="21">
        <v>1</v>
      </c>
      <c r="B57" s="22" t="s">
        <v>33</v>
      </c>
      <c r="C57" s="31" t="s">
        <v>228</v>
      </c>
      <c r="D57" s="31" t="s">
        <v>97</v>
      </c>
      <c r="E57" s="25">
        <f>0.05*(SUM(F51:F54))</f>
        <v>735.34</v>
      </c>
      <c r="F57" s="26">
        <f t="shared" ref="F57:F58" si="20">ROUND(A57*E57,2)</f>
        <v>735.34</v>
      </c>
      <c r="H57" s="21">
        <f>A57</f>
        <v>1</v>
      </c>
      <c r="I57" s="22" t="str">
        <f>B57</f>
        <v>ud</v>
      </c>
      <c r="J57" s="119">
        <f>E57</f>
        <v>735.34</v>
      </c>
      <c r="K57" s="26">
        <f t="shared" si="19"/>
        <v>735.34</v>
      </c>
    </row>
    <row r="58" spans="1:13" s="27" customFormat="1" ht="25.5" x14ac:dyDescent="0.2">
      <c r="A58" s="32">
        <v>1</v>
      </c>
      <c r="B58" s="33" t="s">
        <v>33</v>
      </c>
      <c r="C58" s="34" t="s">
        <v>98</v>
      </c>
      <c r="D58" s="34" t="s">
        <v>99</v>
      </c>
      <c r="E58" s="35">
        <f>0.05*(SUM(F51:F54))</f>
        <v>735.34</v>
      </c>
      <c r="F58" s="36">
        <f t="shared" si="20"/>
        <v>735.34</v>
      </c>
      <c r="H58" s="21">
        <f>A58</f>
        <v>1</v>
      </c>
      <c r="I58" s="22" t="str">
        <f>B58</f>
        <v>ud</v>
      </c>
      <c r="J58" s="119">
        <f>E58</f>
        <v>735.34</v>
      </c>
      <c r="K58" s="26">
        <f>ROUND(J58*H58,2)</f>
        <v>735.34</v>
      </c>
    </row>
    <row r="59" spans="1:13" x14ac:dyDescent="0.25">
      <c r="A59" s="37"/>
      <c r="B59" s="37"/>
      <c r="C59" s="38"/>
      <c r="D59" s="38"/>
      <c r="E59" s="39" t="s">
        <v>72</v>
      </c>
      <c r="F59" s="40">
        <f>SUM(F51:F58)</f>
        <v>16441.48</v>
      </c>
      <c r="H59" s="37"/>
      <c r="I59" s="37"/>
      <c r="J59" s="66" t="s">
        <v>72</v>
      </c>
      <c r="K59" s="40">
        <f>SUM(K51:K58)</f>
        <v>1470.68</v>
      </c>
    </row>
    <row r="60" spans="1:13" x14ac:dyDescent="0.25">
      <c r="A60" s="42"/>
      <c r="B60" s="42"/>
      <c r="C60" s="43"/>
      <c r="D60" s="43"/>
      <c r="E60" s="43"/>
      <c r="F60" s="43"/>
      <c r="H60" s="42"/>
      <c r="I60" s="42"/>
      <c r="J60" s="43"/>
      <c r="K60" s="43"/>
      <c r="L60" s="43"/>
      <c r="M60" s="43"/>
    </row>
    <row r="61" spans="1:13" x14ac:dyDescent="0.25">
      <c r="A61" s="219" t="s">
        <v>263</v>
      </c>
      <c r="B61" s="220"/>
      <c r="C61" s="221"/>
      <c r="D61" s="44"/>
      <c r="E61" s="44"/>
      <c r="F61" s="45"/>
      <c r="H61" s="219" t="str">
        <f>A61</f>
        <v>3.- Configuración de analítica de vídeo</v>
      </c>
      <c r="I61" s="220"/>
      <c r="J61" s="221"/>
      <c r="K61" s="44"/>
      <c r="L61" s="44"/>
      <c r="M61" s="44"/>
    </row>
    <row r="62" spans="1:13" ht="25.5" x14ac:dyDescent="0.25">
      <c r="A62" s="222" t="s">
        <v>59</v>
      </c>
      <c r="B62" s="222"/>
      <c r="C62" s="19" t="s">
        <v>60</v>
      </c>
      <c r="D62" s="19" t="s">
        <v>61</v>
      </c>
      <c r="E62" s="20" t="s">
        <v>62</v>
      </c>
      <c r="F62" s="14" t="s">
        <v>63</v>
      </c>
      <c r="H62" s="222" t="s">
        <v>59</v>
      </c>
      <c r="I62" s="222"/>
      <c r="J62" s="19" t="str">
        <f>E62</f>
        <v>P/U</v>
      </c>
      <c r="K62" s="19" t="str">
        <f>F62</f>
        <v>TOTAL</v>
      </c>
    </row>
    <row r="63" spans="1:13" ht="25.5" x14ac:dyDescent="0.25">
      <c r="A63" s="140">
        <v>27</v>
      </c>
      <c r="B63" s="141" t="s">
        <v>33</v>
      </c>
      <c r="C63" s="142" t="s">
        <v>639</v>
      </c>
      <c r="D63" s="142" t="s">
        <v>264</v>
      </c>
      <c r="E63" s="143">
        <f>1*100</f>
        <v>100</v>
      </c>
      <c r="F63" s="144">
        <f>ROUND(A63*E63,2)</f>
        <v>2700</v>
      </c>
      <c r="H63" s="21">
        <f>A63</f>
        <v>27</v>
      </c>
      <c r="I63" s="22" t="str">
        <f>B63</f>
        <v>ud</v>
      </c>
      <c r="J63" s="119">
        <v>100</v>
      </c>
      <c r="K63" s="26">
        <f>ROUND(J63*H63,2)</f>
        <v>2700</v>
      </c>
    </row>
    <row r="64" spans="1:13" x14ac:dyDescent="0.25">
      <c r="A64" s="37"/>
      <c r="B64" s="37"/>
      <c r="C64" s="38"/>
      <c r="D64" s="38"/>
      <c r="E64" s="39" t="s">
        <v>72</v>
      </c>
      <c r="F64" s="40">
        <f>SUM(F63)</f>
        <v>2700</v>
      </c>
      <c r="H64" s="37"/>
      <c r="I64" s="37"/>
      <c r="J64" s="66" t="s">
        <v>72</v>
      </c>
      <c r="K64" s="40">
        <f>SUM(K63)</f>
        <v>2700</v>
      </c>
    </row>
    <row r="65" spans="1:13" x14ac:dyDescent="0.25">
      <c r="A65" s="42"/>
      <c r="B65" s="42"/>
      <c r="C65" s="43"/>
      <c r="D65" s="43"/>
      <c r="E65" s="43"/>
      <c r="F65" s="43"/>
      <c r="H65" s="42"/>
      <c r="I65" s="42"/>
      <c r="J65" s="43"/>
      <c r="K65" s="43"/>
      <c r="L65" s="43"/>
      <c r="M65" s="43"/>
    </row>
    <row r="66" spans="1:13" x14ac:dyDescent="0.25">
      <c r="A66" s="219" t="s">
        <v>265</v>
      </c>
      <c r="B66" s="220"/>
      <c r="C66" s="221"/>
      <c r="D66" s="44"/>
      <c r="E66" s="44"/>
      <c r="F66" s="45"/>
      <c r="H66" s="219" t="str">
        <f>A66</f>
        <v>4.- Electrónica de Red</v>
      </c>
      <c r="I66" s="220"/>
      <c r="J66" s="221"/>
      <c r="K66" s="44"/>
      <c r="L66" s="44"/>
      <c r="M66" s="44"/>
    </row>
    <row r="67" spans="1:13" ht="25.5" x14ac:dyDescent="0.25">
      <c r="A67" s="222" t="s">
        <v>59</v>
      </c>
      <c r="B67" s="222"/>
      <c r="C67" s="19" t="s">
        <v>60</v>
      </c>
      <c r="D67" s="19" t="s">
        <v>61</v>
      </c>
      <c r="E67" s="20" t="s">
        <v>62</v>
      </c>
      <c r="F67" s="14" t="s">
        <v>63</v>
      </c>
      <c r="H67" s="222" t="s">
        <v>59</v>
      </c>
      <c r="I67" s="222"/>
      <c r="J67" s="19" t="str">
        <f>E67</f>
        <v>P/U</v>
      </c>
      <c r="K67" s="20" t="s">
        <v>55</v>
      </c>
    </row>
    <row r="68" spans="1:13" ht="102" x14ac:dyDescent="0.25">
      <c r="A68" s="28">
        <v>25</v>
      </c>
      <c r="B68" s="29" t="s">
        <v>33</v>
      </c>
      <c r="C68" s="118" t="s">
        <v>266</v>
      </c>
      <c r="D68" s="118" t="s">
        <v>267</v>
      </c>
      <c r="E68" s="48">
        <v>1053.3599999999999</v>
      </c>
      <c r="F68" s="26">
        <f>ROUND(A68*E68,2)</f>
        <v>26334</v>
      </c>
      <c r="H68" s="21">
        <f>A68</f>
        <v>25</v>
      </c>
      <c r="I68" s="22" t="str">
        <f>B68</f>
        <v>ud</v>
      </c>
      <c r="J68" s="10"/>
      <c r="K68" s="26">
        <f t="shared" ref="K68:K70" si="21">ROUND(J68*H68,2)</f>
        <v>0</v>
      </c>
    </row>
    <row r="69" spans="1:13" ht="25.5" x14ac:dyDescent="0.25">
      <c r="A69" s="21">
        <v>25</v>
      </c>
      <c r="B69" s="22" t="s">
        <v>33</v>
      </c>
      <c r="C69" s="23" t="s">
        <v>268</v>
      </c>
      <c r="D69" s="23" t="s">
        <v>269</v>
      </c>
      <c r="E69" s="25">
        <v>297</v>
      </c>
      <c r="F69" s="26">
        <f t="shared" ref="F69:F71" si="22">ROUND(A69*E69,2)</f>
        <v>7425</v>
      </c>
      <c r="H69" s="21">
        <f>A69</f>
        <v>25</v>
      </c>
      <c r="I69" s="22" t="str">
        <f>B69</f>
        <v>ud</v>
      </c>
      <c r="J69" s="9"/>
      <c r="K69" s="26">
        <f t="shared" si="21"/>
        <v>0</v>
      </c>
    </row>
    <row r="70" spans="1:13" ht="38.25" x14ac:dyDescent="0.25">
      <c r="A70" s="21">
        <v>3</v>
      </c>
      <c r="B70" s="22" t="s">
        <v>33</v>
      </c>
      <c r="C70" s="23" t="s">
        <v>479</v>
      </c>
      <c r="D70" s="23" t="s">
        <v>478</v>
      </c>
      <c r="E70" s="25">
        <v>209</v>
      </c>
      <c r="F70" s="26">
        <f t="shared" si="22"/>
        <v>627</v>
      </c>
      <c r="H70" s="21">
        <f t="shared" ref="H70:H71" si="23">A70</f>
        <v>3</v>
      </c>
      <c r="I70" s="22" t="str">
        <f t="shared" ref="I70:I71" si="24">B70</f>
        <v>ud</v>
      </c>
      <c r="J70" s="9"/>
      <c r="K70" s="26">
        <f t="shared" si="21"/>
        <v>0</v>
      </c>
    </row>
    <row r="71" spans="1:13" ht="38.25" x14ac:dyDescent="0.25">
      <c r="A71" s="59">
        <v>56</v>
      </c>
      <c r="B71" s="82" t="s">
        <v>33</v>
      </c>
      <c r="C71" s="23" t="s">
        <v>165</v>
      </c>
      <c r="D71" s="23" t="s">
        <v>166</v>
      </c>
      <c r="E71" s="25">
        <v>60</v>
      </c>
      <c r="F71" s="26">
        <f t="shared" si="22"/>
        <v>3360</v>
      </c>
      <c r="H71" s="21">
        <f t="shared" si="23"/>
        <v>56</v>
      </c>
      <c r="I71" s="22" t="str">
        <f t="shared" si="24"/>
        <v>ud</v>
      </c>
      <c r="J71" s="124"/>
      <c r="K71" s="26">
        <f>ROUND(J71*H71,2)</f>
        <v>0</v>
      </c>
    </row>
    <row r="72" spans="1:13" x14ac:dyDescent="0.25">
      <c r="A72" s="218" t="s">
        <v>270</v>
      </c>
      <c r="B72" s="218"/>
      <c r="C72" s="218"/>
      <c r="D72" s="218"/>
      <c r="E72" s="218"/>
      <c r="F72" s="218"/>
      <c r="H72" s="215" t="str">
        <f>A72</f>
        <v>Partida de montaje de armarios y cableados</v>
      </c>
      <c r="I72" s="216"/>
      <c r="J72" s="216"/>
      <c r="K72" s="217"/>
    </row>
    <row r="73" spans="1:13" s="27" customFormat="1" ht="12.75" x14ac:dyDescent="0.2">
      <c r="A73" s="21">
        <v>1</v>
      </c>
      <c r="B73" s="22" t="s">
        <v>33</v>
      </c>
      <c r="C73" s="31" t="s">
        <v>271</v>
      </c>
      <c r="D73" s="31" t="s">
        <v>253</v>
      </c>
      <c r="E73" s="25">
        <f>0.5*28*1*100</f>
        <v>1400</v>
      </c>
      <c r="F73" s="26">
        <f>ROUND(A73*E73,2)</f>
        <v>1400</v>
      </c>
      <c r="H73" s="21">
        <v>1</v>
      </c>
      <c r="I73" s="22" t="str">
        <f t="shared" ref="I73:I75" si="25">B73</f>
        <v>ud</v>
      </c>
      <c r="J73" s="9"/>
      <c r="K73" s="52">
        <f>ROUND(J73*H73,2)</f>
        <v>0</v>
      </c>
    </row>
    <row r="74" spans="1:13" s="27" customFormat="1" ht="25.5" x14ac:dyDescent="0.2">
      <c r="A74" s="21">
        <v>1</v>
      </c>
      <c r="B74" s="22" t="s">
        <v>33</v>
      </c>
      <c r="C74" s="23" t="s">
        <v>228</v>
      </c>
      <c r="D74" s="23" t="s">
        <v>97</v>
      </c>
      <c r="E74" s="25">
        <f>0.02*(SUM(F68:F71))</f>
        <v>754.92</v>
      </c>
      <c r="F74" s="26">
        <f t="shared" ref="F74:F75" si="26">ROUND(A74*E74,2)</f>
        <v>754.92</v>
      </c>
      <c r="H74" s="21">
        <v>1</v>
      </c>
      <c r="I74" s="22" t="str">
        <f t="shared" si="25"/>
        <v>ud</v>
      </c>
      <c r="J74" s="119">
        <f>E74</f>
        <v>754.92</v>
      </c>
      <c r="K74" s="52">
        <f>ROUND(J74*H74,2)</f>
        <v>754.92</v>
      </c>
    </row>
    <row r="75" spans="1:13" s="27" customFormat="1" ht="25.5" x14ac:dyDescent="0.2">
      <c r="A75" s="32">
        <v>1</v>
      </c>
      <c r="B75" s="33" t="s">
        <v>33</v>
      </c>
      <c r="C75" s="34" t="s">
        <v>98</v>
      </c>
      <c r="D75" s="34" t="s">
        <v>99</v>
      </c>
      <c r="E75" s="35">
        <f>0.02*(SUM(F68:F71))</f>
        <v>754.92</v>
      </c>
      <c r="F75" s="36">
        <f t="shared" si="26"/>
        <v>754.92</v>
      </c>
      <c r="H75" s="59">
        <v>1</v>
      </c>
      <c r="I75" s="22" t="str">
        <f t="shared" si="25"/>
        <v>ud</v>
      </c>
      <c r="J75" s="119">
        <f>E75</f>
        <v>754.92</v>
      </c>
      <c r="K75" s="52">
        <f>ROUND(J75*H75,2)</f>
        <v>754.92</v>
      </c>
    </row>
    <row r="76" spans="1:13" x14ac:dyDescent="0.25">
      <c r="A76" s="37"/>
      <c r="B76" s="37"/>
      <c r="C76" s="38"/>
      <c r="D76" s="38"/>
      <c r="E76" s="39" t="s">
        <v>72</v>
      </c>
      <c r="F76" s="40">
        <f>SUM(F68:F75)</f>
        <v>40655.839999999997</v>
      </c>
      <c r="H76" s="37"/>
      <c r="I76" s="37"/>
      <c r="J76" s="66" t="s">
        <v>72</v>
      </c>
      <c r="K76" s="40">
        <f>SUM(K68:K75)</f>
        <v>1509.84</v>
      </c>
    </row>
    <row r="77" spans="1:13" x14ac:dyDescent="0.25">
      <c r="A77" s="42"/>
      <c r="B77" s="42"/>
      <c r="C77" s="43"/>
      <c r="D77" s="43"/>
      <c r="E77" s="43"/>
      <c r="F77" s="43"/>
      <c r="H77" s="42"/>
      <c r="I77" s="42"/>
      <c r="J77" s="43"/>
      <c r="K77" s="43"/>
      <c r="L77" s="43"/>
      <c r="M77" s="43"/>
    </row>
    <row r="78" spans="1:13" x14ac:dyDescent="0.25">
      <c r="A78" s="223" t="s">
        <v>142</v>
      </c>
      <c r="B78" s="224"/>
      <c r="C78" s="224"/>
      <c r="D78" s="224"/>
      <c r="E78" s="224"/>
      <c r="F78" s="145">
        <f>D17</f>
        <v>340751.27</v>
      </c>
      <c r="H78" s="223" t="s">
        <v>142</v>
      </c>
      <c r="I78" s="224"/>
      <c r="J78" s="224"/>
      <c r="K78" s="138">
        <f>K17</f>
        <v>12341.16</v>
      </c>
    </row>
  </sheetData>
  <sheetProtection algorithmName="SHA-512" hashValue="SceUHjQEgrjVkjP2mD9eYOnRs4NgwuhCcRSeRdqIqbtmd1sNFVLqWHtiG0gWOu0RwwNU6fkUpwoi/7gcnFab1Q==" saltValue="0C8E0JSPNuIi7H0djS53Cg==" spinCount="100000" sheet="1" selectLockedCells="1"/>
  <mergeCells count="30">
    <mergeCell ref="D3:J6"/>
    <mergeCell ref="C10:D10"/>
    <mergeCell ref="J10:K10"/>
    <mergeCell ref="J19:K19"/>
    <mergeCell ref="A21:C21"/>
    <mergeCell ref="H21:J21"/>
    <mergeCell ref="A22:B22"/>
    <mergeCell ref="H22:I22"/>
    <mergeCell ref="A23:F23"/>
    <mergeCell ref="A43:F43"/>
    <mergeCell ref="H23:K23"/>
    <mergeCell ref="H43:K43"/>
    <mergeCell ref="A61:C61"/>
    <mergeCell ref="H61:J61"/>
    <mergeCell ref="A62:B62"/>
    <mergeCell ref="H62:I62"/>
    <mergeCell ref="H55:K55"/>
    <mergeCell ref="A49:C49"/>
    <mergeCell ref="H49:J49"/>
    <mergeCell ref="A50:B50"/>
    <mergeCell ref="H50:I50"/>
    <mergeCell ref="A55:F55"/>
    <mergeCell ref="A78:E78"/>
    <mergeCell ref="A66:C66"/>
    <mergeCell ref="H66:J66"/>
    <mergeCell ref="A67:B67"/>
    <mergeCell ref="H67:I67"/>
    <mergeCell ref="A72:F72"/>
    <mergeCell ref="H72:K72"/>
    <mergeCell ref="H78:J78"/>
  </mergeCells>
  <dataValidations count="4">
    <dataValidation allowBlank="1" showInputMessage="1" sqref="I73:I75 J57:J58 J74:J75 I44:J46 I56:I58 I51:I53" xr:uid="{DF519FDB-DDD9-4364-AFAB-660A1F3BFE85}"/>
    <dataValidation type="decimal" allowBlank="1" showErrorMessage="1" error="Introducir Precio Unitario" sqref="J63" xr:uid="{4E13C9E0-9B5F-45E2-9B05-2FFFB80EFF08}">
      <formula1>1</formula1>
      <formula2>100000</formula2>
    </dataValidation>
    <dataValidation type="decimal" allowBlank="1" showInputMessage="1" showErrorMessage="1" error="Introducir Precio Unitario" sqref="L10" xr:uid="{8502CFD4-806D-4CDA-905D-1AFDB7688590}">
      <formula1>1</formula1>
      <formula2>100000</formula2>
    </dataValidation>
    <dataValidation type="whole" allowBlank="1" showInputMessage="1" showErrorMessage="1" error="Introducir Unidades" sqref="H22 H62 H50 H67" xr:uid="{9D5524E0-FE22-4686-95F9-01AD82BE0D7B}">
      <formula1>1</formula1>
      <formula2>1000</formula2>
    </dataValidation>
  </dataValidations>
  <pageMargins left="0.7" right="0.7" top="0.75" bottom="0.75" header="0.3" footer="0.3"/>
  <pageSetup paperSize="9" orientation="portrait" r:id="rId1"/>
  <customProperties>
    <customPr name="_pios_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4fd46784-a323-4a13-9ce7-d880620db668">RVE4WTQSMYQ2-1827405729-860</_dlc_DocId>
    <_dlc_DocIdUrl xmlns="4fd46784-a323-4a13-9ce7-d880620db668">
      <Url>https://espacios.metromadrid.es/sitios/ACTI/_layouts/15/DocIdRedir.aspx?ID=RVE4WTQSMYQ2-1827405729-860</Url>
      <Description>RVE4WTQSMYQ2-1827405729-860</Description>
    </_dlc_DocIdUrl>
    <SharedWithUsers xmlns="4fd46784-a323-4a13-9ce7-d880620db668">
      <UserInfo>
        <DisplayName>Carbajo Calvo, Roberto</DisplayName>
        <AccountId>1786</AccountId>
        <AccountType/>
      </UserInfo>
      <UserInfo>
        <DisplayName>Sánchez Fernández, Esteban</DisplayName>
        <AccountId>56</AccountId>
        <AccountType/>
      </UserInfo>
      <UserInfo>
        <DisplayName>Gómez Cañero, Rubén</DisplayName>
        <AccountId>104</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A36B117486650468329313898BB7A96" ma:contentTypeVersion="2" ma:contentTypeDescription="Crear nuevo documento." ma:contentTypeScope="" ma:versionID="e6cb906d5945a7d2eaa14441bad84f75">
  <xsd:schema xmlns:xsd="http://www.w3.org/2001/XMLSchema" xmlns:xs="http://www.w3.org/2001/XMLSchema" xmlns:p="http://schemas.microsoft.com/office/2006/metadata/properties" xmlns:ns2="4fd46784-a323-4a13-9ce7-d880620db668" targetNamespace="http://schemas.microsoft.com/office/2006/metadata/properties" ma:root="true" ma:fieldsID="2e6ed0d2df33fe970b89d78e8a2c15f2" ns2:_="">
    <xsd:import namespace="4fd46784-a323-4a13-9ce7-d880620db668"/>
    <xsd:element name="properties">
      <xsd:complexType>
        <xsd:sequence>
          <xsd:element name="documentManagement">
            <xsd:complexType>
              <xsd:all>
                <xsd:element ref="ns2:SharedWithUsers" minOccurs="0"/>
                <xsd:element ref="ns2:SharedWithDetails" minOccurs="0"/>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d46784-a323-4a13-9ce7-d880620db66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A8A7E84-EC2F-48E3-A1FB-3554E872B42B}">
  <ds:schemaRefs>
    <ds:schemaRef ds:uri="http://schemas.microsoft.com/office/infopath/2007/PartnerControls"/>
    <ds:schemaRef ds:uri="http://www.w3.org/XML/1998/namespace"/>
    <ds:schemaRef ds:uri="http://schemas.microsoft.com/office/2006/documentManagement/types"/>
    <ds:schemaRef ds:uri="http://purl.org/dc/elements/1.1/"/>
    <ds:schemaRef ds:uri="http://purl.org/dc/dcmitype/"/>
    <ds:schemaRef ds:uri="4fd46784-a323-4a13-9ce7-d880620db668"/>
    <ds:schemaRef ds:uri="http://schemas.microsoft.com/office/2006/metadata/properties"/>
    <ds:schemaRef ds:uri="http://purl.org/dc/terms/"/>
    <ds:schemaRef ds:uri="http://schemas.openxmlformats.org/package/2006/metadata/core-properties"/>
  </ds:schemaRefs>
</ds:datastoreItem>
</file>

<file path=customXml/itemProps2.xml><?xml version="1.0" encoding="utf-8"?>
<ds:datastoreItem xmlns:ds="http://schemas.openxmlformats.org/officeDocument/2006/customXml" ds:itemID="{9F44FB17-1FF8-4B15-B694-1685D58BA2C2}">
  <ds:schemaRefs>
    <ds:schemaRef ds:uri="http://schemas.microsoft.com/sharepoint/v3/contenttype/forms"/>
  </ds:schemaRefs>
</ds:datastoreItem>
</file>

<file path=customXml/itemProps3.xml><?xml version="1.0" encoding="utf-8"?>
<ds:datastoreItem xmlns:ds="http://schemas.openxmlformats.org/officeDocument/2006/customXml" ds:itemID="{06A11B2E-F22D-4AFE-86D9-05CA8AD90D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d46784-a323-4a13-9ce7-d880620db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53EAAA9-5CA9-4A6F-A756-75BBCFB1C1A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CERTO</vt:lpstr>
      <vt:lpstr>Desmontaje e Infraestructura</vt:lpstr>
      <vt:lpstr>Centro Control</vt:lpstr>
      <vt:lpstr>Acceso Vehicular</vt:lpstr>
      <vt:lpstr>Perimetral</vt:lpstr>
      <vt:lpstr>'Centro Control'!Área_de_impresión</vt:lpstr>
    </vt:vector>
  </TitlesOfParts>
  <Manager/>
  <Company>Metro de Madrid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García García, Julio</dc:creator>
  <cp:keywords/>
  <dc:description/>
  <cp:lastModifiedBy>Ruiz de Gregorio, Estrella</cp:lastModifiedBy>
  <cp:revision/>
  <dcterms:created xsi:type="dcterms:W3CDTF">2023-06-09T08:33:37Z</dcterms:created>
  <dcterms:modified xsi:type="dcterms:W3CDTF">2025-10-24T12:29:34Z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0x010100EA36B117486650468329313898BB7A96</vt:lpwstr>
  </property>
  <property fmtid="{D5CDD505-2E9C-101B-9397-08002B2CF9AE}" pid="3" name="_dlc_DocIdItemGuid">
    <vt:lpwstr>e8ba3b69-9bbd-461f-bad1-69a43555f78c</vt:lpwstr>
  </property>
  <property fmtid="{D5CDD505-2E9C-101B-9397-08002B2CF9AE}" pid="4" name="TaxKeyword">
    <vt:lpwstr/>
  </property>
</Properties>
</file>